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06" yWindow="65386" windowWidth="12120" windowHeight="7320" tabRatio="598" activeTab="2"/>
  </bookViews>
  <sheets>
    <sheet name="HTKT" sheetId="1" r:id="rId1"/>
    <sheet name="matien" sheetId="2" r:id="rId2"/>
    <sheet name="Htrang" sheetId="3" r:id="rId3"/>
    <sheet name="cocau" sheetId="4" r:id="rId4"/>
    <sheet name="chitiet" sheetId="5" r:id="rId5"/>
    <sheet name="chiphi" sheetId="6" r:id="rId6"/>
    <sheet name="00000000" sheetId="7" state="veryHidden" r:id="rId7"/>
    <sheet name="00000001" sheetId="8" state="veryHidden" r:id="rId8"/>
  </sheets>
  <externalReferences>
    <externalReference r:id="rId11"/>
  </externalReferences>
  <definedNames>
    <definedName name="_xlnm.Print_Area" localSheetId="4">'chitiet'!$C$15:$I$15</definedName>
    <definedName name="_xlnm.Print_Area" localSheetId="0">'HTKT'!$B$2:$I$24</definedName>
    <definedName name="_xlnm.Print_Area" localSheetId="2">'Htrang'!$B$3:$K$113</definedName>
    <definedName name="_xlnm.Print_Area" localSheetId="1">'matien'!$B$1:$J$17</definedName>
  </definedNames>
  <calcPr fullCalcOnLoad="1"/>
</workbook>
</file>

<file path=xl/sharedStrings.xml><?xml version="1.0" encoding="utf-8"?>
<sst xmlns="http://schemas.openxmlformats.org/spreadsheetml/2006/main" count="1301" uniqueCount="704">
  <si>
    <t>Qnc</t>
  </si>
  <si>
    <t>Qdp</t>
  </si>
  <si>
    <t>Qtb</t>
  </si>
  <si>
    <t>Qmax</t>
  </si>
  <si>
    <t>Ptt</t>
  </si>
  <si>
    <t>Stt</t>
  </si>
  <si>
    <t>TT</t>
  </si>
  <si>
    <t>Khèi l­îng</t>
  </si>
  <si>
    <t>m</t>
  </si>
  <si>
    <t>Thµnh tiÒn</t>
  </si>
  <si>
    <t>m3</t>
  </si>
  <si>
    <t>I</t>
  </si>
  <si>
    <t>II</t>
  </si>
  <si>
    <t>H¹ng môc</t>
  </si>
  <si>
    <t>ChiÒu dµi (m)</t>
  </si>
  <si>
    <t>Giao th«ng</t>
  </si>
  <si>
    <t>D300</t>
  </si>
  <si>
    <t>GiÕng th¨m</t>
  </si>
  <si>
    <t>ha</t>
  </si>
  <si>
    <t>tr¹m</t>
  </si>
  <si>
    <t>III</t>
  </si>
  <si>
    <t>§­êng 30m</t>
  </si>
  <si>
    <t>IV</t>
  </si>
  <si>
    <t>KVA</t>
  </si>
  <si>
    <t>6.1</t>
  </si>
  <si>
    <t>6.2</t>
  </si>
  <si>
    <t>6.3</t>
  </si>
  <si>
    <t>6.4</t>
  </si>
  <si>
    <t>Ký hiÖu « ®Êt</t>
  </si>
  <si>
    <t>Chøc n¨ng sö dông</t>
  </si>
  <si>
    <t>r¸c</t>
  </si>
  <si>
    <t>n­íc th¶i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</si>
  <si>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</si>
  <si>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</si>
  <si>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</si>
  <si>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</si>
  <si>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</si>
  <si>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</si>
  <si>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</si>
  <si>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</si>
  <si>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</si>
  <si>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</si>
  <si>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C:\PROGRAM FILES\MICROSOFT OFFICE\OFFICE\xlstart\Book1.</t>
  </si>
  <si>
    <t>M§XD (%)</t>
  </si>
  <si>
    <t>HSSD ®Êt</t>
  </si>
  <si>
    <t>2.1</t>
  </si>
  <si>
    <t xml:space="preserve"> DT sµn (m2)</t>
  </si>
  <si>
    <t>2.2</t>
  </si>
  <si>
    <t>Book1</t>
  </si>
  <si>
    <t/>
  </si>
  <si>
    <t xml:space="preserve">CÊp n­íc </t>
  </si>
  <si>
    <t xml:space="preserve">Tæng céng </t>
  </si>
  <si>
    <t>Lßng ®­êng</t>
  </si>
  <si>
    <t>2.3</t>
  </si>
  <si>
    <t>2.4</t>
  </si>
  <si>
    <t>2.5</t>
  </si>
  <si>
    <t>A</t>
  </si>
  <si>
    <t>1.1</t>
  </si>
  <si>
    <t>1.2</t>
  </si>
  <si>
    <t>1.3</t>
  </si>
  <si>
    <t>1.4</t>
  </si>
  <si>
    <t>§Êt HTKT</t>
  </si>
  <si>
    <t xml:space="preserve">Giao th«ng </t>
  </si>
  <si>
    <t>1.5</t>
  </si>
  <si>
    <t xml:space="preserve">HÖ thèng cÊp ®iÖn </t>
  </si>
  <si>
    <t xml:space="preserve">Ghi chó </t>
  </si>
  <si>
    <t>D400</t>
  </si>
  <si>
    <t>c¸i</t>
  </si>
  <si>
    <t>Cèng BTCT</t>
  </si>
  <si>
    <t>D600</t>
  </si>
  <si>
    <t>D800</t>
  </si>
  <si>
    <t>D1000</t>
  </si>
  <si>
    <t>D1250</t>
  </si>
  <si>
    <t>D1500</t>
  </si>
  <si>
    <t xml:space="preserve">GiÕng th¨m </t>
  </si>
  <si>
    <t>2.6</t>
  </si>
  <si>
    <t>2.7</t>
  </si>
  <si>
    <t>2.8</t>
  </si>
  <si>
    <t>2.9</t>
  </si>
  <si>
    <t>2.10</t>
  </si>
  <si>
    <t>2.11</t>
  </si>
  <si>
    <t>3.1</t>
  </si>
  <si>
    <t>3.2</t>
  </si>
  <si>
    <t>3.4</t>
  </si>
  <si>
    <t>Chi phÝ x©y dùng hÖ thèng h¹ tÇng kü thuËt ( chi phÝ x©y l¾p )</t>
  </si>
  <si>
    <t xml:space="preserve">H¹ng môc </t>
  </si>
  <si>
    <t xml:space="preserve">§¬n vÞ </t>
  </si>
  <si>
    <t xml:space="preserve">Khèi l­îng </t>
  </si>
  <si>
    <t>§¬n gi¸ ( 1000®)</t>
  </si>
  <si>
    <t>Chi phÝ gåm c¶ thuÕ</t>
  </si>
  <si>
    <t xml:space="preserve">San nÒn </t>
  </si>
  <si>
    <t xml:space="preserve">Bãc líp ®Êt h÷u c¬ </t>
  </si>
  <si>
    <t>San nÒn b»ng c¸t ®Çm chÆt</t>
  </si>
  <si>
    <t>Dù phßng phÝ 10%</t>
  </si>
  <si>
    <t>m2</t>
  </si>
  <si>
    <t>VØa hÌ l¸t g¹ch BLock</t>
  </si>
  <si>
    <t xml:space="preserve">Bã vØa bª t«ng </t>
  </si>
  <si>
    <t xml:space="preserve">TÊm ®an r·nh </t>
  </si>
  <si>
    <t xml:space="preserve">tÊm </t>
  </si>
  <si>
    <t xml:space="preserve">C©y xanh </t>
  </si>
  <si>
    <t>c©y</t>
  </si>
  <si>
    <t>Tho¸t n­íc m­a</t>
  </si>
  <si>
    <t>Cèng BTCT  ( cèng vµ ®Õ cèng)</t>
  </si>
  <si>
    <t>Cèng D400</t>
  </si>
  <si>
    <t>Cèng D600</t>
  </si>
  <si>
    <t>Cèng D800</t>
  </si>
  <si>
    <t>Cèng D1000</t>
  </si>
  <si>
    <t>Cèng D1250</t>
  </si>
  <si>
    <t>Cèng D1500</t>
  </si>
  <si>
    <t>Cèng D1750</t>
  </si>
  <si>
    <t>Cèng hép BTCT</t>
  </si>
  <si>
    <t>B3000xH2500</t>
  </si>
  <si>
    <t>B600xH700</t>
  </si>
  <si>
    <t>GiÕng thu hµm Õch</t>
  </si>
  <si>
    <t xml:space="preserve">c¸i </t>
  </si>
  <si>
    <t>3.5</t>
  </si>
  <si>
    <t>MiÖng x¶ D1500</t>
  </si>
  <si>
    <t>3.6</t>
  </si>
  <si>
    <t>MiÖng x¶ B300xH2500</t>
  </si>
  <si>
    <t>3.7</t>
  </si>
  <si>
    <t xml:space="preserve">giÕng </t>
  </si>
  <si>
    <t>B300xH2500</t>
  </si>
  <si>
    <t>3.8</t>
  </si>
  <si>
    <t>R·nh tho¸t n­íc B600XH600</t>
  </si>
  <si>
    <t>3.9</t>
  </si>
  <si>
    <r>
      <t xml:space="preserve">§­êng èng tr¸ng kÏm 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50</t>
    </r>
  </si>
  <si>
    <r>
      <t xml:space="preserve">§­êng èng gang dÎo 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100</t>
    </r>
  </si>
  <si>
    <r>
      <t xml:space="preserve">§­êng èng gang dÎo 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150</t>
    </r>
  </si>
  <si>
    <r>
      <t xml:space="preserve">§­êng èng gang dÎo 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300</t>
    </r>
  </si>
  <si>
    <r>
      <t xml:space="preserve">§­êng èng gang dÎo 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400</t>
    </r>
  </si>
  <si>
    <t>D§µi n­íc  W 287m3</t>
  </si>
  <si>
    <t>BÓ chøa W1200</t>
  </si>
  <si>
    <t>Tr¹m b¬m 12000m3/h</t>
  </si>
  <si>
    <t xml:space="preserve">Trô cøu ho¶ </t>
  </si>
  <si>
    <t>HÖ thèng tho¸t n­íc th¶i</t>
  </si>
  <si>
    <t>5.1</t>
  </si>
  <si>
    <t>D500</t>
  </si>
  <si>
    <t>5.2</t>
  </si>
  <si>
    <t>5.3</t>
  </si>
  <si>
    <t>Tr¹m xö lý n­íc th¶i 500m3/ng®</t>
  </si>
  <si>
    <t>Cét thÐp 10m liÒn cÇn</t>
  </si>
  <si>
    <t xml:space="preserve">Bé </t>
  </si>
  <si>
    <t>§Ìn cao ¸p Sodium 250W</t>
  </si>
  <si>
    <t>Tñ ®iÒu khiÓn chiÕu s¸ng</t>
  </si>
  <si>
    <t>C¸p XLPE 22KV</t>
  </si>
  <si>
    <t>6.5</t>
  </si>
  <si>
    <t>C¸p XLPE 0,4KV</t>
  </si>
  <si>
    <t>6.6</t>
  </si>
  <si>
    <t xml:space="preserve">C¸p PVC 4x70 CS§§ </t>
  </si>
  <si>
    <t>6.7</t>
  </si>
  <si>
    <t xml:space="preserve">Tr¹m biÕn thÕ </t>
  </si>
  <si>
    <t>Tr¹m</t>
  </si>
  <si>
    <t>6.8</t>
  </si>
  <si>
    <t>Tæng céng chi phÝ x©y dùng h¹ tÇng</t>
  </si>
  <si>
    <t>CN Tõ Liªm ( 42 ha) : kho¶ng 70 tû ®ång</t>
  </si>
  <si>
    <t>Chi phÝ ®Òn bï gi¶i phãng mÆt b»ng</t>
  </si>
  <si>
    <t xml:space="preserve">Lo¹i </t>
  </si>
  <si>
    <t>§¬n gi¸ (1000 ®)</t>
  </si>
  <si>
    <t xml:space="preserve">§Òn bï thiÖt h¹i vÒ ®Êt </t>
  </si>
  <si>
    <t>Q§ sè 199/Q§ -UB ngµy 29/12/2004 cña UBND HN</t>
  </si>
  <si>
    <t xml:space="preserve">§Òn bï hoa mµu trªn ®Êt </t>
  </si>
  <si>
    <t xml:space="preserve">Trång lóa </t>
  </si>
  <si>
    <t xml:space="preserve">Mµu </t>
  </si>
  <si>
    <t>Trî cÊp ®êi sèng</t>
  </si>
  <si>
    <t xml:space="preserve">Lîi nhuËn sx NN trong vßng 20n¨m. 30% doanh thu - </t>
  </si>
  <si>
    <t xml:space="preserve">Hç trî chuyÓn nghÒ </t>
  </si>
  <si>
    <t>Di chuyÓn må m¶, hç trî an t¸ng</t>
  </si>
  <si>
    <t>mé</t>
  </si>
  <si>
    <t>Tæng céng chi phÝ gi¶i phãng mÆt b»ng</t>
  </si>
  <si>
    <t>CN Tõ Liªm ( 42ha) : 120,74 tû ®ång</t>
  </si>
  <si>
    <t>B</t>
  </si>
  <si>
    <t>Chi phÝ kh¸c</t>
  </si>
  <si>
    <t xml:space="preserve">HÖ sè </t>
  </si>
  <si>
    <t>§Þnh møc</t>
  </si>
  <si>
    <t>C¬ së ®Ó t. to¸n (1000®)</t>
  </si>
  <si>
    <t>Giai ®o¹n chuÈn bÞ ®Çu t­ x©y dùng HT</t>
  </si>
  <si>
    <t>CN Tõ Liªm ( 42ha) : 1,14 tû ®ång</t>
  </si>
  <si>
    <t>Xin giíi thiÖu ®Þa ®iÓm</t>
  </si>
  <si>
    <t xml:space="preserve">Kh¶o s¸t ®o ®¹c b¶n ®å </t>
  </si>
  <si>
    <t>X¸c ®Þnh chØ giíi ®­êng ®á</t>
  </si>
  <si>
    <t xml:space="preserve">LËp quy ho¹ch chi tiÕt </t>
  </si>
  <si>
    <t xml:space="preserve">Khoan kh¶o s¸t ®Þa chÊt </t>
  </si>
  <si>
    <t>1.6</t>
  </si>
  <si>
    <t xml:space="preserve">ThÈm ®Þnh quy ho¹ch </t>
  </si>
  <si>
    <t>1.7</t>
  </si>
  <si>
    <t xml:space="preserve">Xin tho¶ thuËn </t>
  </si>
  <si>
    <t>1.8</t>
  </si>
  <si>
    <t xml:space="preserve">LËp b¸o c¸o nghiªn cøu kh¶ thi </t>
  </si>
  <si>
    <t>1.9</t>
  </si>
  <si>
    <t xml:space="preserve">ThÈm ®Þnh b¸o c¸o nghiªn cøu kh¶ thi </t>
  </si>
  <si>
    <t>Giai ®o¹n thùc hiÖn ®Çu t­ x©y dùng HT</t>
  </si>
  <si>
    <t>CN Tõ Liªm ( 42ha) : 196 tû ®ång</t>
  </si>
  <si>
    <t>CÊp ®Êt x©y dùng, lÖ phÝ ®Þa chÝnh</t>
  </si>
  <si>
    <t xml:space="preserve">Chi phÝ c¾m mèc x©y dùng </t>
  </si>
  <si>
    <t>Chi phÝ gi¶i phãng mÆt b»ng</t>
  </si>
  <si>
    <t xml:space="preserve">Chi phÝ thiÕt kÕ kü thuËt thi c«ng </t>
  </si>
  <si>
    <t>Chi phÝ thÈm ®Þnh thiÕt kÕ kü thuËt</t>
  </si>
  <si>
    <t xml:space="preserve">Chi phÝ thÈm ®Þnh tæng dù to¸n </t>
  </si>
  <si>
    <t xml:space="preserve">Chi phÝ lËp hå s¬ mêi thÇu </t>
  </si>
  <si>
    <t xml:space="preserve">Gi¸m s¸t thi c«ng x©y l¾p </t>
  </si>
  <si>
    <t xml:space="preserve">Chi phÝ qu¶n lý </t>
  </si>
  <si>
    <t>Chi phÝ rµ ph¸ bom m×n</t>
  </si>
  <si>
    <t>6000®/m2</t>
  </si>
  <si>
    <t xml:space="preserve">Chi phÝ b¶o hiÓm c«ng tr×nh </t>
  </si>
  <si>
    <t>Giai ®o¹n kÕt thóc ®Çu t­ x©y dùng HT</t>
  </si>
  <si>
    <t xml:space="preserve">Chi phÝ lËp hå s¬ hoµn c«ng </t>
  </si>
  <si>
    <t xml:space="preserve">Chi phÝ quyÕt to¸n vèn ®Çu t­ </t>
  </si>
  <si>
    <t xml:space="preserve">Tæng chi phÝ  kh¸c </t>
  </si>
  <si>
    <t>C</t>
  </si>
  <si>
    <t>Chi phÝ dù phßng 10% x ( A +B)</t>
  </si>
  <si>
    <t>Tæng møc ®Çu t­ x©y dùng HTKT( A+B+C)</t>
  </si>
  <si>
    <t>CN Tõ Liªm ( 42ha) : 197,6 tû ®ång</t>
  </si>
  <si>
    <t>D</t>
  </si>
  <si>
    <t xml:space="preserve">Chi phÝ ®Çu t­ x©y dùng bªn trong « ®Êt </t>
  </si>
  <si>
    <t>Thµnh tiÒn (1000§)</t>
  </si>
  <si>
    <t xml:space="preserve">Trung t©m ®iÒu hµnh </t>
  </si>
  <si>
    <t xml:space="preserve">Chi phÝ x©y dùng c«ng tr×nh </t>
  </si>
  <si>
    <t xml:space="preserve">Chi phÝ hoµn thiÖn khu ®Êt x©y dùng </t>
  </si>
  <si>
    <t>Khu vùc kho tµng, tr­ng bµy, s©n</t>
  </si>
  <si>
    <t>Tr¹m xe container</t>
  </si>
  <si>
    <t>Khu vùc hå ®iÒu hoµ, c©y xanh, dÞch vô</t>
  </si>
  <si>
    <t xml:space="preserve">Chi phÝ x©y dùng hå </t>
  </si>
  <si>
    <t>C©y xanh kªnh ViÖt Th¾ng</t>
  </si>
  <si>
    <t xml:space="preserve">C©y xanh , dÞch vô </t>
  </si>
  <si>
    <t xml:space="preserve">Tæng céng  </t>
  </si>
  <si>
    <t xml:space="preserve">Tæng chi phÝ ®Çu t­ x©y d­ng bªn trong « ®Êt </t>
  </si>
  <si>
    <t>Tæng toµn bé chi phÝ ®Çu t­ (A+B+C+D)</t>
  </si>
  <si>
    <t>E</t>
  </si>
  <si>
    <t xml:space="preserve">Ph­¬ng ¸n thu håi vèn </t>
  </si>
  <si>
    <t>TiÒn thuª 1000®/m2.n¨m</t>
  </si>
  <si>
    <t xml:space="preserve">Thµnh tiÒn </t>
  </si>
  <si>
    <t xml:space="preserve">Thuª s©n b·i </t>
  </si>
  <si>
    <t>15000®/m2.th¸ng</t>
  </si>
  <si>
    <t>Thuª nhµ kho</t>
  </si>
  <si>
    <t>25000®/m2.th¸ng</t>
  </si>
  <si>
    <t>Kinh doanh dÞch vô, nghØ ng¬i gi¶i trÝ</t>
  </si>
  <si>
    <t>l­ît ng­êi/n¨m</t>
  </si>
  <si>
    <t>Khai th¸c khu vùc hå ( nu«i c¸), c©y c¶nh</t>
  </si>
  <si>
    <t xml:space="preserve">Tæng thu nhËp trong n¨m </t>
  </si>
  <si>
    <t>Lîi nhuËn ( kh«ng kÓ khÊu trõ chi phÝ ®Çu t­ ) 70%</t>
  </si>
  <si>
    <t>Cã kh¶ n¨ng hoµn vèn trong kho¶ng thêi gian 15 n¨m</t>
  </si>
  <si>
    <t>1,6tû/ha</t>
  </si>
  <si>
    <t xml:space="preserve">Chi phÝ chuÈn bÞ ®Çu t­ </t>
  </si>
  <si>
    <t xml:space="preserve">hÖ sè </t>
  </si>
  <si>
    <t xml:space="preserve">Chi phÝ x©y dùng </t>
  </si>
  <si>
    <t xml:space="preserve">Chi phÝ ®Òn bï </t>
  </si>
  <si>
    <t>DÞch vô kü thuËt</t>
  </si>
  <si>
    <t xml:space="preserve">Qu¶n lý </t>
  </si>
  <si>
    <t xml:space="preserve">tæng </t>
  </si>
  <si>
    <t xml:space="preserve">dù phßng </t>
  </si>
  <si>
    <t xml:space="preserve">Tæng chi phÝ x©y dùng </t>
  </si>
  <si>
    <t>Lo¹i ®­êng</t>
  </si>
  <si>
    <t xml:space="preserve">SuÊt ®Çu t­ </t>
  </si>
  <si>
    <t xml:space="preserve">( triÖu ®ång /m) </t>
  </si>
  <si>
    <t>Chi phÝ ( triÖu ®ång)</t>
  </si>
  <si>
    <t>§­êng réng 25m</t>
  </si>
  <si>
    <t xml:space="preserve">§­êng réng 17,5m </t>
  </si>
  <si>
    <t>B¶ng tÝnh suÊt ®Çu t­</t>
  </si>
  <si>
    <t>Khèi l­îng M1000</t>
  </si>
  <si>
    <t>Khèi l­îng thùc</t>
  </si>
  <si>
    <t>§¬n gi¸( 1000®)</t>
  </si>
  <si>
    <t>Thµnh tiÒn (1000®)</t>
  </si>
  <si>
    <t>C©y ng¾n ngµy</t>
  </si>
  <si>
    <t xml:space="preserve">C©y l©u n¨m </t>
  </si>
  <si>
    <t xml:space="preserve">§Òn bï c«ng tr×nh </t>
  </si>
  <si>
    <t>Tæng chi phÝ ®Òn bï gi¶i phãng mÆt b»ng</t>
  </si>
  <si>
    <t>TÝnh to¸n nhu cÇu XD hÖ thèng h¹ tÇng kü thuËt</t>
  </si>
  <si>
    <t xml:space="preserve">Chi phÝ san nÒn </t>
  </si>
  <si>
    <t>§­êng réng 40m</t>
  </si>
  <si>
    <t>Dù phßng phÝ (10%)</t>
  </si>
  <si>
    <t>§­êng réng 30m</t>
  </si>
  <si>
    <t>§­êng réng 17,5m</t>
  </si>
  <si>
    <t>§­êng réng 13,5m</t>
  </si>
  <si>
    <t>§­êng réng 10,5m</t>
  </si>
  <si>
    <t>§­êng réng 5,5m</t>
  </si>
  <si>
    <t>D2000</t>
  </si>
  <si>
    <t>D2500</t>
  </si>
  <si>
    <t>D100</t>
  </si>
  <si>
    <t xml:space="preserve">MiÖng x¶ </t>
  </si>
  <si>
    <r>
      <t xml:space="preserve">èng gang dÎo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50</t>
    </r>
  </si>
  <si>
    <r>
      <t xml:space="preserve">èng gang dÎo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75</t>
    </r>
  </si>
  <si>
    <r>
      <t xml:space="preserve">èng gang dÎo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100</t>
    </r>
  </si>
  <si>
    <r>
      <t xml:space="preserve">èng gang dÎo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150</t>
    </r>
  </si>
  <si>
    <r>
      <t xml:space="preserve">èng gang dÎo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200</t>
    </r>
  </si>
  <si>
    <r>
      <t xml:space="preserve">èng gang dÎo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250</t>
    </r>
  </si>
  <si>
    <r>
      <t xml:space="preserve">èng gang dÎo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300</t>
    </r>
  </si>
  <si>
    <r>
      <t xml:space="preserve">èng gang dÎo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350</t>
    </r>
  </si>
  <si>
    <r>
      <t xml:space="preserve">èng gang dÎo </t>
    </r>
    <r>
      <rPr>
        <sz val="11"/>
        <rFont val="Symbol"/>
        <family val="1"/>
      </rPr>
      <t>F</t>
    </r>
    <r>
      <rPr>
        <sz val="11"/>
        <rFont val=".VnTime"/>
        <family val="2"/>
      </rPr>
      <t xml:space="preserve"> 400</t>
    </r>
  </si>
  <si>
    <t xml:space="preserve">Häng cøu ho¶ </t>
  </si>
  <si>
    <t>häng</t>
  </si>
  <si>
    <t>V</t>
  </si>
  <si>
    <t>Tho¸t n­íc bÈn</t>
  </si>
  <si>
    <t xml:space="preserve">Tr¹m b¬m chuyÓn bËc </t>
  </si>
  <si>
    <t xml:space="preserve">tr¹m </t>
  </si>
  <si>
    <t>VI</t>
  </si>
  <si>
    <t xml:space="preserve">CÊp ®iÖn </t>
  </si>
  <si>
    <t>TuyÕn c¸p ngÇm 22KV</t>
  </si>
  <si>
    <t>TuyÕn c¸p SH0,4KV</t>
  </si>
  <si>
    <t>C¸p CS ®Ìn ®­êng</t>
  </si>
  <si>
    <t>§Ìn cao ¸p thñy ng©n</t>
  </si>
  <si>
    <t>bé</t>
  </si>
  <si>
    <t>Tr¹m biÕn ¸p</t>
  </si>
  <si>
    <t xml:space="preserve">Tæng chi phÝ x©y dùng HTKT </t>
  </si>
  <si>
    <t xml:space="preserve">CÇu VT-Thanh Tr× </t>
  </si>
  <si>
    <t>§­êng kh¸c</t>
  </si>
  <si>
    <t>§­êng réng 21,5m</t>
  </si>
  <si>
    <t>DiÖn tÝch m2</t>
  </si>
  <si>
    <t>DTXD</t>
  </si>
  <si>
    <t>Ng­êi</t>
  </si>
  <si>
    <t>B·i ®ç xe</t>
  </si>
  <si>
    <t>§Êt giao th«ng</t>
  </si>
  <si>
    <t>§¬n vÞ</t>
  </si>
  <si>
    <t>4--14</t>
  </si>
  <si>
    <t>§¬n gi¸ (triÖu ®)</t>
  </si>
  <si>
    <t>Chi phÝ (triÖu ®)</t>
  </si>
  <si>
    <t>Chi phÝ XD hÖ thèng HTKT</t>
  </si>
  <si>
    <t>Tæng céng kÓ c¶ dù phßng phÝ 20%</t>
  </si>
  <si>
    <t>SuÊt vèn ®Çu t­ x©y dùng hÖ thèng HTKT</t>
  </si>
  <si>
    <t>tr®/ha</t>
  </si>
  <si>
    <t>Hå ®iÒu hoµ</t>
  </si>
  <si>
    <t>§Êt ë</t>
  </si>
  <si>
    <t>Chi phÝ san nÒn x©y dùng ®­êng, hå ®iÒu hoµ</t>
  </si>
  <si>
    <t>§­êng réng 40m,30m vµ 22m</t>
  </si>
  <si>
    <t>§­êng réng 17,5m, 15m vµ 13,5m</t>
  </si>
  <si>
    <t>§­êng réng 12m</t>
  </si>
  <si>
    <t>Chi phÝ ®Òn bï gi¶i phãng mÆt b»ng ®­êng, hå, m­¬ng</t>
  </si>
  <si>
    <t>Tr¹m biÕn ¸p 26 tr¹m BTT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</si>
  <si>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</si>
  <si>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</si>
  <si>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</si>
  <si>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</si>
  <si>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</si>
  <si>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</si>
  <si>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</si>
  <si>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</si>
  <si>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</si>
  <si>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</si>
  <si>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</si>
  <si>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</si>
  <si>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</si>
  <si>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</si>
  <si>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</si>
  <si>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</si>
  <si>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</si>
  <si>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</si>
  <si>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</si>
  <si>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</si>
  <si>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</si>
  <si>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</si>
  <si>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 xml:space="preserve">Tæng diÖn tÝch 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</si>
  <si>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</si>
  <si>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</si>
  <si>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</si>
  <si>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</si>
  <si>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</si>
  <si>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</si>
  <si>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</si>
  <si>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</si>
  <si>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</si>
  <si>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 xml:space="preserve">§Êt giao th«ng ph©n chia c¸c « ®Êt </t>
  </si>
  <si>
    <t>§Êt c¬ quan</t>
  </si>
  <si>
    <t>ChØ tiªu kinh tÕ kü thuËt c¸c « ®Êt Lª V¨n l­¬ng</t>
  </si>
  <si>
    <t>Ghi chó vÒ dt ë</t>
  </si>
  <si>
    <t>DtÝch sµn ë</t>
  </si>
  <si>
    <t>16 tÇng, dÞch vô 2 tÇng</t>
  </si>
  <si>
    <t>18 vµ 21tÇng. 1 dÞch vô</t>
  </si>
  <si>
    <t>15tÇng, 3 tÇng dÞchvô, v¨n phßng</t>
  </si>
  <si>
    <t>3-12-19tÇng</t>
  </si>
  <si>
    <t>N21A</t>
  </si>
  <si>
    <t>N21B</t>
  </si>
  <si>
    <t>chØ tiªu (m3/)</t>
  </si>
  <si>
    <t>ChØ tiªu (KW/)</t>
  </si>
  <si>
    <t>0,01; 1,3</t>
  </si>
  <si>
    <t>0,002; 0,2</t>
  </si>
  <si>
    <t>0,025;4</t>
  </si>
  <si>
    <t>chØ tiªu (kg/)</t>
  </si>
  <si>
    <t>DiÖn tÝch « ®Êt</t>
  </si>
  <si>
    <t>N32</t>
  </si>
  <si>
    <t>B·I ®â xe</t>
  </si>
  <si>
    <t>N10.1</t>
  </si>
  <si>
    <t>N10.2</t>
  </si>
  <si>
    <t>N10.3</t>
  </si>
  <si>
    <t>N10.4</t>
  </si>
  <si>
    <t>N10.5</t>
  </si>
  <si>
    <t>N10.6</t>
  </si>
  <si>
    <t>§Êt ë - nhµ ë cã v­ên</t>
  </si>
  <si>
    <t>§Êt GT néi bé ®­êng 10,5m trë lªn</t>
  </si>
  <si>
    <t>Sè tÇng TB</t>
  </si>
  <si>
    <t>ChiÕm kh«ng qu¸ 50%, cao 25 tÇng</t>
  </si>
  <si>
    <t>1, löng: TMDV, v¨n phßng (26 vµ 32 tÇng)</t>
  </si>
  <si>
    <t>16 tÇng</t>
  </si>
  <si>
    <t>Ghi chó vÒ dt ë, sè tÇng cao</t>
  </si>
  <si>
    <t>§Êt c©y xanh</t>
  </si>
  <si>
    <t>tÇng 1 dÞch vô</t>
  </si>
  <si>
    <t>32tÇng, 5 tÇng dÞch vô</t>
  </si>
  <si>
    <t>25 tÇng, 2 tÇng dÞch  vô v¨n phßng</t>
  </si>
  <si>
    <t>3 khèi (22, 26,32 tÇng) 5 tÇng bÖ tõ tÇng 10 trë lªn lµ c¨n hé</t>
  </si>
  <si>
    <t>2 khèi (21;24 tÇng) 5 tÇng bÖ, tõ tÇng 10 trë lªn lµ c¨n hé</t>
  </si>
  <si>
    <t>18 tÇng, 1-2 dÞchvô</t>
  </si>
  <si>
    <t>6,7 vµ 18 tÇng</t>
  </si>
  <si>
    <t>30(1-4:dÞch vô: 5-30van phßng vµ ë</t>
  </si>
  <si>
    <t>17 tÇng 1 tÇng dÞch vô</t>
  </si>
  <si>
    <t>1 tÇng dÞch vô, 17 vµ 3 khèi 11 tÇng</t>
  </si>
  <si>
    <t>15,16,17,18-18 tÇng</t>
  </si>
  <si>
    <t>GT</t>
  </si>
  <si>
    <t>§Êt an ninh quèc phßng</t>
  </si>
  <si>
    <t>§Êt nhµ ë cao tÇng</t>
  </si>
  <si>
    <t>18 tÇng, 2 tÇng bÖ</t>
  </si>
  <si>
    <t>§Êt x©y dùng c«ng tr×nh</t>
  </si>
  <si>
    <t>16tÇng, bÖ 3 tÇng</t>
  </si>
  <si>
    <t>26 vµ 30 tÇng, 5tÇng bÖ</t>
  </si>
  <si>
    <t>§Êt ®­êng GT néi bé sö dông chung</t>
  </si>
  <si>
    <t>18 tÇng, 2tÇng dÞch vô</t>
  </si>
  <si>
    <t>N11.1</t>
  </si>
  <si>
    <t>N11.2</t>
  </si>
  <si>
    <t>§Êt c¬ quan v¨n phßng</t>
  </si>
  <si>
    <t>N20.1</t>
  </si>
  <si>
    <t>N20.2</t>
  </si>
  <si>
    <t>21 tÇng, 3 tÇng bÖ</t>
  </si>
  <si>
    <t>3 tÇng</t>
  </si>
  <si>
    <t>cao 45,40 và 35 tÇng</t>
  </si>
  <si>
    <t>N11.3</t>
  </si>
  <si>
    <t>N11.4</t>
  </si>
  <si>
    <t>N11.5</t>
  </si>
  <si>
    <t>2 tÇng dÞch vô</t>
  </si>
  <si>
    <t>1 tÇng dÞch vô</t>
  </si>
  <si>
    <t>Bảng thống kê khối lượng hiện trạng Hạ Tầng Kỹ Thuật</t>
  </si>
  <si>
    <t>STT</t>
  </si>
  <si>
    <t>Hạng mục</t>
  </si>
  <si>
    <t>Đơn vị</t>
  </si>
  <si>
    <t>Khối lượng</t>
  </si>
  <si>
    <t>Ghi chú</t>
  </si>
  <si>
    <t>Giao thông</t>
  </si>
  <si>
    <t>( theo hiện trạng thực tế)</t>
  </si>
  <si>
    <t>Đường Lê Văn Lương rộng tb 40m</t>
  </si>
  <si>
    <t>Đường Nguyễn Tuân rộng tb 20m</t>
  </si>
  <si>
    <t>Đường Hoàng Đạo Thúy rộng tb 40m</t>
  </si>
  <si>
    <t>Đường Nguyễn Thị Định rộng tb 20m</t>
  </si>
  <si>
    <t>Đường Hoàng Ngân rộng 7,5m</t>
  </si>
  <si>
    <t>Đường nhánh rộng tb 6m</t>
  </si>
  <si>
    <t xml:space="preserve">Đường nhánh </t>
  </si>
  <si>
    <t>Điện</t>
  </si>
  <si>
    <t>Tuyến điện 110 kv</t>
  </si>
  <si>
    <t>Trạm biến thế 400 KVA</t>
  </si>
  <si>
    <t>trạm</t>
  </si>
  <si>
    <t>Trạm biến thế 250 KVA</t>
  </si>
  <si>
    <t>Thoát nước mưa</t>
  </si>
  <si>
    <t>( theo dự án phê duyệt năm 2003)</t>
  </si>
  <si>
    <t>Cống hộp 3(3,3x2,8 m)</t>
  </si>
  <si>
    <t>Cống tròn D 1500</t>
  </si>
  <si>
    <t>Cống tròn D 1250</t>
  </si>
  <si>
    <t>Cống tròn D 1000</t>
  </si>
  <si>
    <t>Cống tròn D 800</t>
  </si>
  <si>
    <t>Cống tròn D 600</t>
  </si>
  <si>
    <t>Đường ống cấp nước D400</t>
  </si>
  <si>
    <t>Đường ống cấp nước D150</t>
  </si>
  <si>
    <t>Đường ống cấp nước D90</t>
  </si>
  <si>
    <t>Họng cứu hỏa</t>
  </si>
  <si>
    <t>cái</t>
  </si>
  <si>
    <t>Cấp nước</t>
  </si>
  <si>
    <t>Cèng trßn</t>
  </si>
  <si>
    <t>®­êng èng cÊp n­íc</t>
  </si>
  <si>
    <t>§Êt v¨n phßng</t>
  </si>
  <si>
    <t>§Êt ë, dÞch vô c«ng céng, c©y xanh</t>
  </si>
  <si>
    <t>§Êt ë, v¨n phßng</t>
  </si>
  <si>
    <t xml:space="preserve">§Êt ë </t>
  </si>
  <si>
    <t>§Êt b·i ®ç xe, tr¹m x¨ng</t>
  </si>
  <si>
    <t>§Êt b·i ®â xe dÞch vô</t>
  </si>
  <si>
    <t>PhÇn diÖn tÝch mÆt n­íc</t>
  </si>
  <si>
    <t>PhÇn diÖn tÝch c©y xanh</t>
  </si>
  <si>
    <t>Tæng hîp hiÖn tr¹ng sö sông ®Êt</t>
  </si>
  <si>
    <t>§Êt x©y dùng nhµ ë</t>
  </si>
  <si>
    <t xml:space="preserve">§Êt x©y dùng c«ng tr×nh dÞch vô ®« thÞ </t>
  </si>
  <si>
    <t xml:space="preserve"> TT v¨n ho¸ Thanh Xu©n</t>
  </si>
  <si>
    <t>Th­¬ng m¹i, v¨n phßng</t>
  </si>
  <si>
    <t>§Êt ph¸t triÓn hçn hîp: V¨n phßng, th­¬ng m¹i, dÞch vô, ë, ®Ó xe cao tÇng</t>
  </si>
  <si>
    <t>DiÖn tÝch (m2)</t>
  </si>
  <si>
    <t>§Êt ®ang ®Çu t­ x©y dùng</t>
  </si>
  <si>
    <t>§Êt ph¶I ®Òn bï gi¶I to¶</t>
  </si>
  <si>
    <t>§Êt nghÜa ®Þa</t>
  </si>
  <si>
    <t>§Êt d©n c­ hiÖn cã</t>
  </si>
  <si>
    <t>§Êt trèng kh¸c</t>
  </si>
  <si>
    <t>Lo¹i ®Êt</t>
  </si>
  <si>
    <t>DIÖn tÝch</t>
  </si>
  <si>
    <t>§Êt XD c¸c c«ng tr×nh sö dông hçn hîp: v¨n phßng, dÞch vô th­­¬ng m¹i, nhµ ë</t>
  </si>
  <si>
    <t>§Êt kh¸ch s¹n, v¨n phßng, th­¬ng m¹i</t>
  </si>
  <si>
    <t>§Êt v¨n phßng,  kh¸ch s¹n</t>
  </si>
  <si>
    <t>§Êt XD c¸c c«ng tr×nh sö dông hçn hîp: th­¬ng m¹i, v¨n phßng, nhµ ë</t>
  </si>
  <si>
    <t>§Êt XD c¸c c«ng tr×nh sö dông hçn hîp: dÞch vô c«ng céng vµ nhµ ë cho thuª (®· XD mét phÇn)</t>
  </si>
  <si>
    <t xml:space="preserve">§Êt XD c¸c c«ng tr×nh sö dông hçn hîp: dÞch vô c«ng céng, v¨n phßng, ë </t>
  </si>
  <si>
    <t xml:space="preserve">§Êt x©y dùng c«ng tr×nh sö dông hçn hîp:  ë, dÞch vô c«ng céng </t>
  </si>
  <si>
    <t xml:space="preserve">§Êt XD c«ng tr×nh sö dông hçn hîp: dÞch vô th­­¬ng m¹i,  ë </t>
  </si>
  <si>
    <t>§Êt th­­¬ng m¹i, v¨n phßng</t>
  </si>
  <si>
    <t>§Êt XD c«ng tr×nh sö dông hçn hîp: ë, dÞch vô c«ng céng</t>
  </si>
  <si>
    <t>§Êt ë di  (d©n GPMB)</t>
  </si>
  <si>
    <t>§Êt ë di (d©n GPMB)</t>
  </si>
  <si>
    <t>§Êt an ninh quèc phßng (c¬ quan, v¨n phßng), ®Êt ë</t>
  </si>
  <si>
    <t>§Êt XD c«ng tr×nh sö dông hçn hîp: Nhµ ®Ó xe cao tÇng, v¨n phßng</t>
  </si>
  <si>
    <t>§Êt TT t©m v¨n ho¸ quËn Thanh Xu©n</t>
  </si>
  <si>
    <t xml:space="preserve">§Êt c«ng CX c«ng viªn, hå ®iÒu hoµ </t>
  </si>
  <si>
    <t>§Êt b·i ®â xe</t>
  </si>
  <si>
    <t xml:space="preserve">§Êt GT ph©n chia c¸c « ®Êt </t>
  </si>
  <si>
    <t>§Êt b·I ®ç xe tËp trung, tr¹m x¨ng</t>
  </si>
  <si>
    <t>§Êt c©y xanh c«ng viªn, v­ên hoa ®« thÞ</t>
  </si>
  <si>
    <t>Tæng céng</t>
  </si>
  <si>
    <t xml:space="preserve">§Êt v¨n phßng  </t>
  </si>
  <si>
    <t>§Êt XD c«ng tr×nh sö dông hçn hîp: V¨n phßng, th­¬ng mai, ë</t>
  </si>
  <si>
    <t>§Êt giao th«ng ngoµi « ®Êt</t>
  </si>
  <si>
    <t>C¸c « ®Êt x©y dùng</t>
  </si>
  <si>
    <t>§Êt XD c¸c c«ng tr×nh sö dông hçn hîp: ë, dÞch vô c«ng céng</t>
  </si>
  <si>
    <t>§Êt ®· x©y dùng</t>
  </si>
  <si>
    <t>§Êt XD c«ng trÝnh sö dônghçn hîp: ë, dÞch vô c«ng céng</t>
  </si>
  <si>
    <t>§Êt XD c¸c c«ng tr×nh sö dông hçn hîp: ë, th­¬ng m¹i</t>
  </si>
  <si>
    <t>§Êt ë hiÖn cã c¶I t¹o chØnh trang theo GH</t>
  </si>
  <si>
    <t>ë hiÖncã</t>
  </si>
  <si>
    <t>TÇng cao</t>
  </si>
  <si>
    <t>§Êt v¨n phßng, th­¬ng m¹i</t>
  </si>
  <si>
    <t>HÖ thèng giao th«ng</t>
  </si>
  <si>
    <t xml:space="preserve">§­­êng </t>
  </si>
  <si>
    <t>11,25x2</t>
  </si>
  <si>
    <t>7,25x2</t>
  </si>
  <si>
    <t>§­­êng cÊp khu vùc</t>
  </si>
  <si>
    <t>7,5x2</t>
  </si>
  <si>
    <t>§­­êng khu vùc réng 22m</t>
  </si>
  <si>
    <t>5x2</t>
  </si>
  <si>
    <t xml:space="preserve">§­­êng cÊp néi bé </t>
  </si>
  <si>
    <t>§­­êng ph©n khu vùc réng 17,5m</t>
  </si>
  <si>
    <t>5--5</t>
  </si>
  <si>
    <t>6--6</t>
  </si>
  <si>
    <t>§­­êng ph©n khu vùc réng 13,5m</t>
  </si>
  <si>
    <t>7--7</t>
  </si>
  <si>
    <t>3x2</t>
  </si>
  <si>
    <t>8--8</t>
  </si>
  <si>
    <t>10--10</t>
  </si>
  <si>
    <t>§­êng chÝnh khu vùc réng 30m</t>
  </si>
  <si>
    <t>§­­êng khu vùc réng 21m</t>
  </si>
  <si>
    <t>13--13</t>
  </si>
  <si>
    <t>9--9</t>
  </si>
  <si>
    <t>§­­êng ph©n khu vùc réng 15,6m</t>
  </si>
  <si>
    <t>11--11</t>
  </si>
  <si>
    <t>§­­êng nhãm nhµ ë réng 11,5m</t>
  </si>
  <si>
    <t>§­êng nhãm nhµ ë réng 10,5m</t>
  </si>
  <si>
    <t>12--12</t>
  </si>
  <si>
    <t>5,25x2</t>
  </si>
  <si>
    <t>3,5 vµ 4,6</t>
  </si>
  <si>
    <t>2,5x2</t>
  </si>
  <si>
    <t>Nhµ ®ç xe cao tÇng, b·i ®ç xe</t>
  </si>
  <si>
    <t>Nhµ ®ç xe cao tÇng t¹i « ®Êt N25</t>
  </si>
  <si>
    <t>B·I ®ç xe kÕt hîp tr¹m x¨ng t¹i « ®Êt N28</t>
  </si>
  <si>
    <t>B·I ®ç xe t¹i « ®Êt N29</t>
  </si>
  <si>
    <t>B·I ®ç xe t¹i « ®Êt N32</t>
  </si>
  <si>
    <t>CÇu v­ît ®­êng</t>
  </si>
  <si>
    <t>Lo¹i</t>
  </si>
  <si>
    <t>Ghi chó</t>
  </si>
  <si>
    <t>Tæng diÖn tÝch ®Êt khu vùc quy ho¹ch</t>
  </si>
  <si>
    <t>ChØ tiªu sö dông ®Êt</t>
  </si>
  <si>
    <t>Mét sè chØ tiªu kinh tÕ kü thuËt chÝnh</t>
  </si>
  <si>
    <t xml:space="preserve">Sè d©n </t>
  </si>
  <si>
    <t>ChØ tiªu diÖn tÝch ®Êt ë</t>
  </si>
  <si>
    <t>3.3</t>
  </si>
  <si>
    <t>MËt ®é x©y dùng chung</t>
  </si>
  <si>
    <t>ChiÒu cao tÇng trung b×nh chung</t>
  </si>
  <si>
    <t>§Êt XD c«ng tr×nh sö dông hçn hîp: V¨n phßng, th­¬ng m¹i, dÞch vô, ë, ®Ó xe cao tÇng</t>
  </si>
  <si>
    <t>§Êt giao th«ng tõ ®­êng 10,5m trë lªn</t>
  </si>
  <si>
    <t>ngµn ng­êi</t>
  </si>
  <si>
    <t>m2sµn/ng­êi</t>
  </si>
  <si>
    <t>hÖ sè sö dông 0,7</t>
  </si>
  <si>
    <t>%</t>
  </si>
  <si>
    <t>tÇng</t>
  </si>
  <si>
    <t>N0</t>
  </si>
  <si>
    <t>§Êt c«ng tr×nh v¨n ho¸</t>
  </si>
  <si>
    <t>Nhµ h¸t lín</t>
  </si>
  <si>
    <t>§¸t kh¸ch s¹n</t>
  </si>
  <si>
    <t>Kh¸ch s¹n Hilton</t>
  </si>
  <si>
    <t>§Êt c©y xanh v­ên hoa ®« thÞ</t>
  </si>
  <si>
    <t>N33</t>
  </si>
  <si>
    <t>Tªn ®Þa ®iÓm</t>
  </si>
  <si>
    <t>N34</t>
  </si>
  <si>
    <t>N35</t>
  </si>
  <si>
    <t>N36</t>
  </si>
  <si>
    <t>N37</t>
  </si>
  <si>
    <t>N38</t>
  </si>
  <si>
    <t>§Êt c¬ quan, v¨n phßng, ®Êt ë</t>
  </si>
  <si>
    <t>§Êt c¬ quan, v¨n phßng, KS</t>
  </si>
  <si>
    <t>§Êt c«ng tr×nh v¨n ho¸, v¨n phßng, ®Êt ë</t>
  </si>
  <si>
    <t>§Êt th­¬ng m¹i, c¬ quan, v¨n phßng, ®Êt ë</t>
  </si>
  <si>
    <t>§Êt c«ng tr×nh HC, th­¬ng m¹i, c¬ quan, v¨n phßng, ®Êt ë</t>
  </si>
  <si>
    <t>§Êt th­¬ng m¹i, c¬ quan, v¨n phßng, ®Êt ë, di tÝch</t>
  </si>
  <si>
    <t>§Êt c©y xanh c«ng viªn</t>
  </si>
  <si>
    <t>Hå Hoµn KiÕm</t>
  </si>
  <si>
    <t>§Êt c¬ quan, v¨n phßng, ë</t>
  </si>
  <si>
    <t>Bé C«ng Th­¬ng</t>
  </si>
  <si>
    <t>Th­ viÖn Quèc gia</t>
  </si>
  <si>
    <t>§Êt bÖnh viÖn</t>
  </si>
  <si>
    <t>BV ViÖt §øc</t>
  </si>
  <si>
    <t>§Þa danh</t>
  </si>
  <si>
    <t>§Êt di tÝch</t>
  </si>
  <si>
    <t>Chïa Thiªn Phóc</t>
  </si>
  <si>
    <t>§Êt c¬ quan, v¨n phßng</t>
  </si>
  <si>
    <t>B¸o C«ng gi¸o VN; Ban T«n gi¸o CP</t>
  </si>
  <si>
    <t>V­ên hoa Cæ T©n</t>
  </si>
  <si>
    <t>Ban chØ huy QS quËn Hoµn KiÕm</t>
  </si>
  <si>
    <t>Hång K«ng Land</t>
  </si>
  <si>
    <t>TT Giao dÞch chøng kho¸n HN,…</t>
  </si>
  <si>
    <t>C.Ty XuÊt nhËp khÈu; Nhµ in b¸o Nh©n d©n; International Center; …</t>
  </si>
  <si>
    <t>§¸t c¬ quan, v¨n phßng</t>
  </si>
  <si>
    <t xml:space="preserve">KS D©n chñ; </t>
  </si>
  <si>
    <t>§Êt c«ng tr×nh v¨n ho¸, v¨n phßng</t>
  </si>
  <si>
    <t>R¹p C«ng nh©n; Phßng triÓn l·m tranh</t>
  </si>
  <si>
    <t>§Êt th­¬ng m¹i, c¬ quan, v¨n phßng</t>
  </si>
  <si>
    <t xml:space="preserve">TT th­¬ng m¹i Trµng TiÒn; Cty Cæ phÇn Bodega Hotel; C. ty Ph¸t hµnh S¸ch HN; Cty CP Mü thuËt vµ Ên phÈm VH; </t>
  </si>
  <si>
    <t xml:space="preserve">§©t c«ng tr×nh HC c¸c cÊp </t>
  </si>
  <si>
    <t>UBND ph­êng Trµng TiÒn</t>
  </si>
  <si>
    <t>§©Êt ë</t>
  </si>
  <si>
    <t>Chïa Vò Th¹ch</t>
  </si>
  <si>
    <t xml:space="preserve">B¶o hiÓm VN; </t>
  </si>
  <si>
    <t>§Êt c©y xanh v­ên hoa</t>
  </si>
  <si>
    <t>Tr­êng tiÓu häc</t>
  </si>
  <si>
    <t>TiÓu häc TrÇn Quèc To¶n</t>
  </si>
  <si>
    <t>§¸t ë</t>
  </si>
  <si>
    <t>CA quËn Hoµn KiÕm; B¸o Hµ Néi míi;</t>
  </si>
  <si>
    <t>§¸t th­¬ng mai, c¬ quan, v¨n phßng</t>
  </si>
  <si>
    <t>Siªu thÞ NguyÔn Kim; TCT M¸y vµ Phô tïng; Cty Xe ®¹p VIHA; Cty TMDV Trµng Thi; TCT XuÊt nhËp khÈu;</t>
  </si>
  <si>
    <t>BV Phô s¶n TW</t>
  </si>
  <si>
    <t>UBTW MÆt trËn tæ quèc VN</t>
  </si>
  <si>
    <t>Cty ThiÕt bÞ Y tÕ</t>
  </si>
  <si>
    <t>N24.1</t>
  </si>
  <si>
    <t>N24.2</t>
  </si>
  <si>
    <t>§Êt giao th«ng néi bé</t>
  </si>
  <si>
    <t>Ngâ Hµng B«ng</t>
  </si>
  <si>
    <t>Ngâ Héi Vò</t>
  </si>
  <si>
    <t>N26.1</t>
  </si>
  <si>
    <t>H·ng phim Ho¹t h×nh VN</t>
  </si>
  <si>
    <t>N26.2</t>
  </si>
  <si>
    <t>Ngâ T«n ThÊt ThiÖp</t>
  </si>
  <si>
    <t>§Êt c¬ quan v¨n phßng, ë, di tÝch</t>
  </si>
  <si>
    <t>§Êt c¬ quan v¨n phßng, ë</t>
  </si>
  <si>
    <t>§Êt th­¬ng m¹i, v¨n phßng, ë</t>
  </si>
  <si>
    <t>§Êt th­¬ng mai, v¨n phßng</t>
  </si>
  <si>
    <t>§©Êt an ninh quèc phßng, bÖnh viÖn, ®Êt ë</t>
  </si>
  <si>
    <t>§©Êt an ninh quèc phßng</t>
  </si>
  <si>
    <t>§©Êt bÖnh viÖn</t>
  </si>
  <si>
    <t>Phßng kh¸m ®a khoa</t>
  </si>
  <si>
    <t>C«ng tr×nh HC ngoµi cÊp qu¶n lý cña ®« thÞ, ®Êt th­ viÖn</t>
  </si>
  <si>
    <t>Th­ viÖn</t>
  </si>
  <si>
    <t>§Êt TM, c¬ quan v¨n phßng, ë</t>
  </si>
  <si>
    <t>§Êt TM, c¬ quan, v¨n phßng</t>
  </si>
  <si>
    <t>§SQ CHLB §øc, §an M¹ch</t>
  </si>
  <si>
    <t>N39</t>
  </si>
  <si>
    <t>N40</t>
  </si>
  <si>
    <t>C«ng viªn Lª Nin</t>
  </si>
  <si>
    <t>§SQ Trung Quèc</t>
  </si>
  <si>
    <t>N30.1</t>
  </si>
  <si>
    <t>N30.2</t>
  </si>
  <si>
    <t>N41</t>
  </si>
  <si>
    <t>Giao th«ng ®­êng s¾t</t>
  </si>
  <si>
    <t xml:space="preserve">Giao th«ng ®­êng bé </t>
  </si>
  <si>
    <t>§Êt c«ng tr×nh HC ngoµi cÊp qu¶n lý HC cña ®« thÞ</t>
  </si>
  <si>
    <t>Bé ngo¹i giao</t>
  </si>
  <si>
    <t>§Êt ®¹i sø qu¸n</t>
  </si>
  <si>
    <t>§Êt ®¹i sø qu¸n, c¬ quan</t>
  </si>
  <si>
    <t>§Êt c«ng tr×nh VH, kh¸ch s¹n</t>
  </si>
  <si>
    <t>N2.1</t>
  </si>
  <si>
    <t>N2.2</t>
  </si>
  <si>
    <t xml:space="preserve">§Êt giao th«ng néi bé </t>
  </si>
  <si>
    <t>§SQ Thuþ Sü, Ucraina, Hµ Lan, Rumainia</t>
  </si>
  <si>
    <t>§SQ Hµ Lan</t>
  </si>
  <si>
    <t>§Êt ANQP, c¬ quan, v¨n phßng, KS, ë</t>
  </si>
  <si>
    <t>§Êt th­¬ng m¹i, c¬ quan, v¨n phßng, ë</t>
  </si>
  <si>
    <t>§Êt c¬ quan, v¨n phßng, GD phæ th«ng, ë</t>
  </si>
  <si>
    <t>§Êt c«ng tr×nh HC ngoµi cÊp qu¶n lý cña ®« thÞ</t>
  </si>
  <si>
    <t>§Êt ngo¹i giao, ë</t>
  </si>
  <si>
    <t>§Êt ngo¹i ngiao</t>
  </si>
  <si>
    <t>§Êt an ninh quèc phßng, c¬ quan, v¨n phßng, §SQ</t>
  </si>
  <si>
    <t>§Êt di tÝch Thµnh cæ HN</t>
  </si>
  <si>
    <t>§Êt c¬ quan, v¨n phßng, an ninh</t>
  </si>
  <si>
    <t>§Êt ®¹i  sø qu¸n</t>
  </si>
  <si>
    <t>Trôc giao th«ng chÝnh</t>
  </si>
  <si>
    <t>Trôc giao th«ng nh¸nh</t>
  </si>
  <si>
    <t>Réng</t>
  </si>
  <si>
    <t>ChiÒu dµi</t>
  </si>
  <si>
    <t>TuyÕn phè Trµng TiÒn</t>
  </si>
  <si>
    <t>TuyÕn phè Hµng Khay</t>
  </si>
  <si>
    <t>TuyÕn phè Trµng Thi</t>
  </si>
  <si>
    <t>TuyÕn phè §iÖn Biªn Phñ</t>
  </si>
  <si>
    <t>TÇng TB</t>
  </si>
  <si>
    <t>HSDDD</t>
  </si>
  <si>
    <t>Tªn ®o¹n phè</t>
  </si>
  <si>
    <t>Trµng TiÒn</t>
  </si>
  <si>
    <t>MÆt ch½n</t>
  </si>
  <si>
    <t xml:space="preserve">1.2 </t>
  </si>
  <si>
    <t xml:space="preserve">MÆt lÏ </t>
  </si>
  <si>
    <t>duíi 2m</t>
  </si>
  <si>
    <t>2-3m</t>
  </si>
  <si>
    <t>3-4m</t>
  </si>
  <si>
    <t>4-5m</t>
  </si>
  <si>
    <t>trªn 5m</t>
  </si>
  <si>
    <t>Tæng</t>
  </si>
  <si>
    <t>TB</t>
  </si>
  <si>
    <t>4.1</t>
  </si>
  <si>
    <t>4.2</t>
  </si>
  <si>
    <t>Kh¶o s¸t chiÒu réng mÆt tiÒn nhµ ë, cöa hµng t­ nh©n däc theo trôc ®­êng QH</t>
  </si>
  <si>
    <t>ChØ tiªu kinh tÕ kü thuËt c¸c « ®Êt ®­êng §BP</t>
  </si>
  <si>
    <t>8,4m-9m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</si>
</sst>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-* #,##0.00_-;\-* #,##0.00_-;_-* &quot;-&quot;??_-;_-@_-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0.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000"/>
    <numFmt numFmtId="183" formatCode="0.0%"/>
    <numFmt numFmtId="184" formatCode="#,##0;[Red]#,##0"/>
    <numFmt numFmtId="185" formatCode="#,##0.0;[Red]#,##0.0"/>
    <numFmt numFmtId="186" formatCode="0.0000%"/>
    <numFmt numFmtId="187" formatCode="0E+00"/>
    <numFmt numFmtId="188" formatCode="0.0E+00"/>
    <numFmt numFmtId="189" formatCode="0.0000E+00"/>
    <numFmt numFmtId="190" formatCode="0.000E+00"/>
    <numFmt numFmtId="191" formatCode="#,##0.00;[Red]#,##0.00"/>
    <numFmt numFmtId="192" formatCode="0.000000000"/>
    <numFmt numFmtId="193" formatCode="0.0000000000"/>
    <numFmt numFmtId="194" formatCode="0.00000000000"/>
  </numFmts>
  <fonts count="42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1"/>
      <name val=".VnTime"/>
      <family val="2"/>
    </font>
    <font>
      <sz val="11"/>
      <color indexed="8"/>
      <name val=".VnTime"/>
      <family val="2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.VnTime"/>
      <family val="2"/>
    </font>
    <font>
      <i/>
      <sz val="11"/>
      <name val=".VnTime"/>
      <family val="2"/>
    </font>
    <font>
      <b/>
      <sz val="11"/>
      <color indexed="8"/>
      <name val=".VnTime"/>
      <family val="2"/>
    </font>
    <font>
      <b/>
      <i/>
      <sz val="11"/>
      <name val=".VnTime"/>
      <family val="2"/>
    </font>
    <font>
      <b/>
      <sz val="11"/>
      <name val=".VnTimeH"/>
      <family val="2"/>
    </font>
    <font>
      <sz val="11"/>
      <color indexed="10"/>
      <name val=".VnTime"/>
      <family val="2"/>
    </font>
    <font>
      <sz val="11"/>
      <name val="Symbol"/>
      <family val="1"/>
    </font>
    <font>
      <sz val="11"/>
      <name val=".VnArial"/>
      <family val="2"/>
    </font>
    <font>
      <b/>
      <sz val="11"/>
      <color indexed="10"/>
      <name val=".VnTime"/>
      <family val="2"/>
    </font>
    <font>
      <i/>
      <sz val="11"/>
      <color indexed="8"/>
      <name val=".VnTime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.VnTime"/>
      <family val="2"/>
    </font>
    <font>
      <b/>
      <i/>
      <sz val="11"/>
      <color indexed="10"/>
      <name val=".VnTime"/>
      <family val="2"/>
    </font>
    <font>
      <i/>
      <sz val="11"/>
      <color indexed="10"/>
      <name val=".VnTime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color indexed="8"/>
      <name val=".VnTimeH"/>
      <family val="2"/>
    </font>
    <font>
      <b/>
      <sz val="10"/>
      <color indexed="10"/>
      <name val=".VnTime"/>
      <family val="2"/>
    </font>
    <font>
      <sz val="11"/>
      <color indexed="8"/>
      <name val=".VnTimeH"/>
      <family val="2"/>
    </font>
    <font>
      <b/>
      <sz val="12"/>
      <name val=".VnTime"/>
      <family val="2"/>
    </font>
    <font>
      <sz val="12"/>
      <name val=".VnTime"/>
      <family val="2"/>
    </font>
    <font>
      <sz val="10"/>
      <color indexed="10"/>
      <name val=".VnTime"/>
      <family val="2"/>
    </font>
    <font>
      <b/>
      <i/>
      <sz val="10"/>
      <color indexed="10"/>
      <name val=".VnTime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39">
      <alignment/>
      <protection/>
    </xf>
    <xf numFmtId="0" fontId="10" fillId="0" borderId="0" xfId="0" applyFont="1" applyAlignment="1">
      <alignment/>
    </xf>
    <xf numFmtId="0" fontId="12" fillId="2" borderId="0" xfId="15" applyFont="1" applyFill="1">
      <alignment/>
      <protection/>
    </xf>
    <xf numFmtId="0" fontId="0" fillId="0" borderId="0" xfId="15">
      <alignment/>
      <protection/>
    </xf>
    <xf numFmtId="0" fontId="0" fillId="2" borderId="0" xfId="15" applyFill="1">
      <alignment/>
      <protection/>
    </xf>
    <xf numFmtId="0" fontId="0" fillId="3" borderId="3" xfId="15" applyFill="1" applyBorder="1">
      <alignment/>
      <protection/>
    </xf>
    <xf numFmtId="0" fontId="13" fillId="4" borderId="4" xfId="15" applyFont="1" applyFill="1" applyBorder="1" applyAlignment="1">
      <alignment horizontal="center"/>
      <protection/>
    </xf>
    <xf numFmtId="0" fontId="14" fillId="5" borderId="5" xfId="15" applyFont="1" applyFill="1" applyBorder="1" applyAlignment="1">
      <alignment horizontal="center"/>
      <protection/>
    </xf>
    <xf numFmtId="0" fontId="13" fillId="4" borderId="5" xfId="15" applyFont="1" applyFill="1" applyBorder="1" applyAlignment="1">
      <alignment horizontal="center"/>
      <protection/>
    </xf>
    <xf numFmtId="0" fontId="13" fillId="4" borderId="6" xfId="15" applyFont="1" applyFill="1" applyBorder="1" applyAlignment="1">
      <alignment horizontal="center"/>
      <protection/>
    </xf>
    <xf numFmtId="0" fontId="0" fillId="3" borderId="7" xfId="15" applyFill="1" applyBorder="1">
      <alignment/>
      <protection/>
    </xf>
    <xf numFmtId="0" fontId="0" fillId="3" borderId="8" xfId="15" applyFill="1" applyBorder="1">
      <alignment/>
      <protection/>
    </xf>
    <xf numFmtId="0" fontId="10" fillId="0" borderId="9" xfId="0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2" fontId="10" fillId="0" borderId="9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5" borderId="9" xfId="0" applyFont="1" applyFill="1" applyBorder="1" applyAlignment="1">
      <alignment horizontal="center" vertical="top" wrapText="1"/>
    </xf>
    <xf numFmtId="184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6" borderId="0" xfId="0" applyFont="1" applyFill="1" applyBorder="1" applyAlignment="1">
      <alignment/>
    </xf>
    <xf numFmtId="0" fontId="15" fillId="6" borderId="0" xfId="0" applyFont="1" applyFill="1" applyBorder="1" applyAlignment="1">
      <alignment horizontal="center"/>
    </xf>
    <xf numFmtId="184" fontId="15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184" fontId="10" fillId="0" borderId="9" xfId="0" applyNumberFormat="1" applyFont="1" applyBorder="1" applyAlignment="1">
      <alignment horizontal="center"/>
    </xf>
    <xf numFmtId="0" fontId="15" fillId="5" borderId="0" xfId="0" applyFont="1" applyFill="1" applyBorder="1" applyAlignment="1">
      <alignment/>
    </xf>
    <xf numFmtId="0" fontId="15" fillId="5" borderId="9" xfId="0" applyFont="1" applyFill="1" applyBorder="1" applyAlignment="1">
      <alignment/>
    </xf>
    <xf numFmtId="0" fontId="17" fillId="5" borderId="9" xfId="0" applyFont="1" applyFill="1" applyBorder="1" applyAlignment="1">
      <alignment horizontal="center" vertical="top" wrapText="1"/>
    </xf>
    <xf numFmtId="184" fontId="15" fillId="5" borderId="9" xfId="0" applyNumberFormat="1" applyFont="1" applyFill="1" applyBorder="1" applyAlignment="1">
      <alignment horizontal="center" vertical="top" wrapText="1"/>
    </xf>
    <xf numFmtId="2" fontId="15" fillId="5" borderId="9" xfId="0" applyNumberFormat="1" applyFont="1" applyFill="1" applyBorder="1" applyAlignment="1">
      <alignment horizontal="right" vertical="top" wrapText="1"/>
    </xf>
    <xf numFmtId="0" fontId="15" fillId="5" borderId="0" xfId="0" applyFont="1" applyFill="1" applyBorder="1" applyAlignment="1">
      <alignment horizontal="right" vertical="top" wrapText="1"/>
    </xf>
    <xf numFmtId="0" fontId="17" fillId="5" borderId="0" xfId="0" applyFont="1" applyFill="1" applyBorder="1" applyAlignment="1">
      <alignment horizontal="right" vertical="top" wrapText="1"/>
    </xf>
    <xf numFmtId="1" fontId="15" fillId="5" borderId="0" xfId="0" applyNumberFormat="1" applyFont="1" applyFill="1" applyBorder="1" applyAlignment="1">
      <alignment/>
    </xf>
    <xf numFmtId="0" fontId="17" fillId="5" borderId="0" xfId="0" applyFont="1" applyFill="1" applyBorder="1" applyAlignment="1">
      <alignment horizontal="justify" vertical="top" wrapText="1"/>
    </xf>
    <xf numFmtId="0" fontId="15" fillId="5" borderId="0" xfId="0" applyFont="1" applyFill="1" applyBorder="1" applyAlignment="1">
      <alignment horizontal="justify" vertical="top" wrapText="1"/>
    </xf>
    <xf numFmtId="0" fontId="17" fillId="5" borderId="0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184" fontId="20" fillId="0" borderId="9" xfId="0" applyNumberFormat="1" applyFont="1" applyBorder="1" applyAlignment="1">
      <alignment horizontal="center" vertical="top" wrapText="1"/>
    </xf>
    <xf numFmtId="184" fontId="10" fillId="0" borderId="9" xfId="0" applyNumberFormat="1" applyFont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right" vertical="top" wrapText="1"/>
    </xf>
    <xf numFmtId="165" fontId="10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1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165" fontId="15" fillId="5" borderId="0" xfId="0" applyNumberFormat="1" applyFont="1" applyFill="1" applyBorder="1" applyAlignment="1">
      <alignment horizontal="right" vertical="top" wrapText="1"/>
    </xf>
    <xf numFmtId="2" fontId="15" fillId="5" borderId="9" xfId="0" applyNumberFormat="1" applyFont="1" applyFill="1" applyBorder="1" applyAlignment="1">
      <alignment horizontal="center" vertical="top" wrapText="1"/>
    </xf>
    <xf numFmtId="0" fontId="18" fillId="7" borderId="0" xfId="0" applyFont="1" applyFill="1" applyBorder="1" applyAlignment="1">
      <alignment/>
    </xf>
    <xf numFmtId="0" fontId="18" fillId="7" borderId="9" xfId="0" applyFont="1" applyFill="1" applyBorder="1" applyAlignment="1">
      <alignment/>
    </xf>
    <xf numFmtId="0" fontId="18" fillId="7" borderId="9" xfId="0" applyFont="1" applyFill="1" applyBorder="1" applyAlignment="1">
      <alignment horizontal="center" vertical="top" wrapText="1"/>
    </xf>
    <xf numFmtId="184" fontId="18" fillId="7" borderId="9" xfId="0" applyNumberFormat="1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2" fontId="18" fillId="7" borderId="9" xfId="0" applyNumberFormat="1" applyFont="1" applyFill="1" applyBorder="1" applyAlignment="1">
      <alignment horizontal="center" vertical="top" wrapText="1"/>
    </xf>
    <xf numFmtId="0" fontId="18" fillId="7" borderId="9" xfId="0" applyFont="1" applyFill="1" applyBorder="1" applyAlignment="1">
      <alignment horizontal="center"/>
    </xf>
    <xf numFmtId="184" fontId="18" fillId="7" borderId="9" xfId="0" applyNumberFormat="1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184" fontId="15" fillId="0" borderId="9" xfId="0" applyNumberFormat="1" applyFont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/>
    </xf>
    <xf numFmtId="184" fontId="15" fillId="5" borderId="9" xfId="0" applyNumberFormat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184" fontId="18" fillId="0" borderId="9" xfId="0" applyNumberFormat="1" applyFont="1" applyBorder="1" applyAlignment="1">
      <alignment horizontal="center"/>
    </xf>
    <xf numFmtId="184" fontId="18" fillId="0" borderId="9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8" fillId="0" borderId="9" xfId="0" applyFont="1" applyFill="1" applyBorder="1" applyAlignment="1">
      <alignment horizontal="center"/>
    </xf>
    <xf numFmtId="184" fontId="18" fillId="0" borderId="9" xfId="0" applyNumberFormat="1" applyFont="1" applyFill="1" applyBorder="1" applyAlignment="1">
      <alignment horizontal="center"/>
    </xf>
    <xf numFmtId="184" fontId="18" fillId="0" borderId="9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/>
    </xf>
    <xf numFmtId="0" fontId="15" fillId="8" borderId="0" xfId="0" applyFont="1" applyFill="1" applyBorder="1" applyAlignment="1">
      <alignment/>
    </xf>
    <xf numFmtId="0" fontId="15" fillId="8" borderId="9" xfId="0" applyFont="1" applyFill="1" applyBorder="1" applyAlignment="1">
      <alignment/>
    </xf>
    <xf numFmtId="0" fontId="15" fillId="8" borderId="9" xfId="0" applyFont="1" applyFill="1" applyBorder="1" applyAlignment="1">
      <alignment horizontal="center"/>
    </xf>
    <xf numFmtId="184" fontId="15" fillId="8" borderId="9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84" fontId="15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84" fontId="10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left"/>
    </xf>
    <xf numFmtId="185" fontId="10" fillId="0" borderId="9" xfId="0" applyNumberFormat="1" applyFont="1" applyBorder="1" applyAlignment="1">
      <alignment horizontal="center"/>
    </xf>
    <xf numFmtId="184" fontId="16" fillId="0" borderId="9" xfId="0" applyNumberFormat="1" applyFont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9" xfId="0" applyFont="1" applyFill="1" applyBorder="1" applyAlignment="1">
      <alignment/>
    </xf>
    <xf numFmtId="0" fontId="15" fillId="3" borderId="9" xfId="0" applyFont="1" applyFill="1" applyBorder="1" applyAlignment="1">
      <alignment horizontal="center"/>
    </xf>
    <xf numFmtId="184" fontId="15" fillId="3" borderId="9" xfId="0" applyNumberFormat="1" applyFont="1" applyFill="1" applyBorder="1" applyAlignment="1">
      <alignment horizontal="center"/>
    </xf>
    <xf numFmtId="184" fontId="15" fillId="3" borderId="9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 horizontal="center"/>
    </xf>
    <xf numFmtId="184" fontId="15" fillId="0" borderId="9" xfId="0" applyNumberFormat="1" applyFont="1" applyFill="1" applyBorder="1" applyAlignment="1">
      <alignment horizontal="center"/>
    </xf>
    <xf numFmtId="184" fontId="15" fillId="0" borderId="9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15" fillId="6" borderId="9" xfId="0" applyFont="1" applyFill="1" applyBorder="1" applyAlignment="1">
      <alignment/>
    </xf>
    <xf numFmtId="0" fontId="15" fillId="6" borderId="9" xfId="0" applyFont="1" applyFill="1" applyBorder="1" applyAlignment="1">
      <alignment horizontal="center"/>
    </xf>
    <xf numFmtId="184" fontId="15" fillId="6" borderId="9" xfId="0" applyNumberFormat="1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left"/>
    </xf>
    <xf numFmtId="10" fontId="10" fillId="0" borderId="9" xfId="0" applyNumberFormat="1" applyFont="1" applyBorder="1" applyAlignment="1">
      <alignment horizontal="center"/>
    </xf>
    <xf numFmtId="0" fontId="10" fillId="3" borderId="0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184" fontId="10" fillId="3" borderId="9" xfId="0" applyNumberFormat="1" applyFont="1" applyFill="1" applyBorder="1" applyAlignment="1">
      <alignment horizontal="center"/>
    </xf>
    <xf numFmtId="10" fontId="10" fillId="3" borderId="9" xfId="0" applyNumberFormat="1" applyFont="1" applyFill="1" applyBorder="1" applyAlignment="1">
      <alignment horizontal="center"/>
    </xf>
    <xf numFmtId="186" fontId="20" fillId="3" borderId="9" xfId="0" applyNumberFormat="1" applyFont="1" applyFill="1" applyBorder="1" applyAlignment="1">
      <alignment horizontal="center"/>
    </xf>
    <xf numFmtId="173" fontId="20" fillId="3" borderId="9" xfId="0" applyNumberFormat="1" applyFont="1" applyFill="1" applyBorder="1" applyAlignment="1">
      <alignment horizontal="center"/>
    </xf>
    <xf numFmtId="9" fontId="10" fillId="3" borderId="9" xfId="0" applyNumberFormat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5" fillId="9" borderId="0" xfId="0" applyFont="1" applyFill="1" applyBorder="1" applyAlignment="1">
      <alignment/>
    </xf>
    <xf numFmtId="0" fontId="15" fillId="9" borderId="9" xfId="0" applyFont="1" applyFill="1" applyBorder="1" applyAlignment="1">
      <alignment/>
    </xf>
    <xf numFmtId="0" fontId="15" fillId="9" borderId="9" xfId="0" applyFont="1" applyFill="1" applyBorder="1" applyAlignment="1">
      <alignment horizontal="center"/>
    </xf>
    <xf numFmtId="184" fontId="15" fillId="9" borderId="9" xfId="0" applyNumberFormat="1" applyFont="1" applyFill="1" applyBorder="1" applyAlignment="1">
      <alignment horizontal="center"/>
    </xf>
    <xf numFmtId="0" fontId="15" fillId="10" borderId="0" xfId="0" applyFont="1" applyFill="1" applyBorder="1" applyAlignment="1">
      <alignment/>
    </xf>
    <xf numFmtId="0" fontId="15" fillId="10" borderId="9" xfId="0" applyFont="1" applyFill="1" applyBorder="1" applyAlignment="1">
      <alignment/>
    </xf>
    <xf numFmtId="0" fontId="10" fillId="1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84" fontId="10" fillId="0" borderId="9" xfId="0" applyNumberFormat="1" applyFont="1" applyFill="1" applyBorder="1" applyAlignment="1">
      <alignment horizontal="center"/>
    </xf>
    <xf numFmtId="0" fontId="15" fillId="10" borderId="9" xfId="0" applyFont="1" applyFill="1" applyBorder="1" applyAlignment="1">
      <alignment horizontal="center"/>
    </xf>
    <xf numFmtId="184" fontId="15" fillId="10" borderId="9" xfId="0" applyNumberFormat="1" applyFont="1" applyFill="1" applyBorder="1" applyAlignment="1">
      <alignment horizontal="center"/>
    </xf>
    <xf numFmtId="0" fontId="15" fillId="11" borderId="0" xfId="0" applyFont="1" applyFill="1" applyBorder="1" applyAlignment="1">
      <alignment/>
    </xf>
    <xf numFmtId="0" fontId="15" fillId="11" borderId="9" xfId="0" applyFont="1" applyFill="1" applyBorder="1" applyAlignment="1">
      <alignment/>
    </xf>
    <xf numFmtId="0" fontId="15" fillId="11" borderId="9" xfId="0" applyFont="1" applyFill="1" applyBorder="1" applyAlignment="1">
      <alignment horizontal="center"/>
    </xf>
    <xf numFmtId="184" fontId="15" fillId="11" borderId="9" xfId="0" applyNumberFormat="1" applyFont="1" applyFill="1" applyBorder="1" applyAlignment="1">
      <alignment horizontal="center"/>
    </xf>
    <xf numFmtId="184" fontId="15" fillId="11" borderId="10" xfId="0" applyNumberFormat="1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184" fontId="15" fillId="10" borderId="10" xfId="0" applyNumberFormat="1" applyFont="1" applyFill="1" applyBorder="1" applyAlignment="1">
      <alignment horizontal="center"/>
    </xf>
    <xf numFmtId="184" fontId="10" fillId="0" borderId="10" xfId="0" applyNumberFormat="1" applyFont="1" applyBorder="1" applyAlignment="1">
      <alignment horizontal="center"/>
    </xf>
    <xf numFmtId="184" fontId="15" fillId="0" borderId="9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1" fontId="15" fillId="3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18" fillId="1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7" borderId="9" xfId="0" applyFont="1" applyFill="1" applyBorder="1" applyAlignment="1">
      <alignment/>
    </xf>
    <xf numFmtId="0" fontId="10" fillId="7" borderId="9" xfId="0" applyFont="1" applyFill="1" applyBorder="1" applyAlignment="1">
      <alignment horizontal="center"/>
    </xf>
    <xf numFmtId="184" fontId="10" fillId="7" borderId="9" xfId="0" applyNumberFormat="1" applyFont="1" applyFill="1" applyBorder="1" applyAlignment="1">
      <alignment horizontal="right" vertical="top" wrapText="1"/>
    </xf>
    <xf numFmtId="0" fontId="10" fillId="7" borderId="0" xfId="0" applyFont="1" applyFill="1" applyAlignment="1">
      <alignment/>
    </xf>
    <xf numFmtId="184" fontId="10" fillId="0" borderId="9" xfId="0" applyNumberFormat="1" applyFont="1" applyBorder="1" applyAlignment="1">
      <alignment horizontal="right" vertical="top" wrapText="1"/>
    </xf>
    <xf numFmtId="184" fontId="10" fillId="7" borderId="9" xfId="0" applyNumberFormat="1" applyFont="1" applyFill="1" applyBorder="1" applyAlignment="1">
      <alignment horizontal="center"/>
    </xf>
    <xf numFmtId="0" fontId="15" fillId="13" borderId="9" xfId="0" applyFont="1" applyFill="1" applyBorder="1" applyAlignment="1">
      <alignment/>
    </xf>
    <xf numFmtId="184" fontId="15" fillId="13" borderId="9" xfId="0" applyNumberFormat="1" applyFont="1" applyFill="1" applyBorder="1" applyAlignment="1">
      <alignment horizontal="right" vertical="top" wrapText="1"/>
    </xf>
    <xf numFmtId="0" fontId="15" fillId="13" borderId="0" xfId="0" applyFont="1" applyFill="1" applyAlignment="1">
      <alignment/>
    </xf>
    <xf numFmtId="0" fontId="15" fillId="13" borderId="9" xfId="0" applyFont="1" applyFill="1" applyBorder="1" applyAlignment="1">
      <alignment horizontal="left"/>
    </xf>
    <xf numFmtId="0" fontId="15" fillId="13" borderId="9" xfId="0" applyFont="1" applyFill="1" applyBorder="1" applyAlignment="1">
      <alignment horizontal="center"/>
    </xf>
    <xf numFmtId="0" fontId="15" fillId="13" borderId="9" xfId="0" applyFont="1" applyFill="1" applyBorder="1" applyAlignment="1">
      <alignment horizontal="right"/>
    </xf>
    <xf numFmtId="184" fontId="15" fillId="13" borderId="9" xfId="0" applyNumberFormat="1" applyFont="1" applyFill="1" applyBorder="1" applyAlignment="1">
      <alignment horizontal="right"/>
    </xf>
    <xf numFmtId="0" fontId="15" fillId="13" borderId="0" xfId="0" applyFont="1" applyFill="1" applyAlignment="1">
      <alignment horizontal="center"/>
    </xf>
    <xf numFmtId="0" fontId="15" fillId="8" borderId="0" xfId="0" applyFont="1" applyFill="1" applyAlignment="1">
      <alignment/>
    </xf>
    <xf numFmtId="0" fontId="18" fillId="5" borderId="9" xfId="0" applyFont="1" applyFill="1" applyBorder="1" applyAlignment="1">
      <alignment/>
    </xf>
    <xf numFmtId="0" fontId="18" fillId="5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3" borderId="9" xfId="0" applyFont="1" applyFill="1" applyBorder="1" applyAlignment="1">
      <alignment/>
    </xf>
    <xf numFmtId="0" fontId="18" fillId="3" borderId="0" xfId="0" applyFont="1" applyFill="1" applyAlignment="1">
      <alignment/>
    </xf>
    <xf numFmtId="0" fontId="15" fillId="14" borderId="9" xfId="0" applyFont="1" applyFill="1" applyBorder="1" applyAlignment="1">
      <alignment/>
    </xf>
    <xf numFmtId="0" fontId="15" fillId="14" borderId="0" xfId="0" applyFont="1" applyFill="1" applyAlignment="1">
      <alignment/>
    </xf>
    <xf numFmtId="0" fontId="22" fillId="0" borderId="9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2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23" fillId="0" borderId="9" xfId="0" applyFont="1" applyBorder="1" applyAlignment="1">
      <alignment horizontal="center" wrapText="1"/>
    </xf>
    <xf numFmtId="0" fontId="23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justify" wrapText="1"/>
    </xf>
    <xf numFmtId="0" fontId="23" fillId="0" borderId="9" xfId="0" applyFont="1" applyBorder="1" applyAlignment="1">
      <alignment horizontal="left" wrapText="1"/>
    </xf>
    <xf numFmtId="0" fontId="20" fillId="0" borderId="9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right" vertical="top" wrapText="1"/>
    </xf>
    <xf numFmtId="0" fontId="26" fillId="0" borderId="9" xfId="0" applyFont="1" applyBorder="1" applyAlignment="1">
      <alignment horizontal="center" vertical="top" wrapText="1"/>
    </xf>
    <xf numFmtId="3" fontId="23" fillId="0" borderId="9" xfId="0" applyNumberFormat="1" applyFont="1" applyBorder="1" applyAlignment="1">
      <alignment horizontal="right" vertical="top" wrapText="1"/>
    </xf>
    <xf numFmtId="0" fontId="26" fillId="0" borderId="9" xfId="0" applyFont="1" applyBorder="1" applyAlignment="1">
      <alignment horizontal="left" wrapText="1"/>
    </xf>
    <xf numFmtId="0" fontId="20" fillId="0" borderId="9" xfId="0" applyFont="1" applyBorder="1" applyAlignment="1">
      <alignment horizontal="right" vertical="top" wrapText="1"/>
    </xf>
    <xf numFmtId="3" fontId="20" fillId="0" borderId="9" xfId="0" applyNumberFormat="1" applyFont="1" applyBorder="1" applyAlignment="1">
      <alignment horizontal="right" vertical="top" wrapText="1"/>
    </xf>
    <xf numFmtId="0" fontId="25" fillId="0" borderId="9" xfId="0" applyFont="1" applyBorder="1" applyAlignment="1">
      <alignment horizontal="left" wrapText="1"/>
    </xf>
    <xf numFmtId="0" fontId="26" fillId="0" borderId="9" xfId="0" applyFont="1" applyBorder="1" applyAlignment="1">
      <alignment horizontal="right" vertical="top" wrapText="1"/>
    </xf>
    <xf numFmtId="0" fontId="11" fillId="0" borderId="9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left" wrapText="1"/>
    </xf>
    <xf numFmtId="1" fontId="17" fillId="0" borderId="9" xfId="0" applyNumberFormat="1" applyFont="1" applyBorder="1" applyAlignment="1">
      <alignment horizontal="right" vertical="top" wrapText="1"/>
    </xf>
    <xf numFmtId="0" fontId="17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right" vertical="top" wrapText="1"/>
    </xf>
    <xf numFmtId="0" fontId="28" fillId="0" borderId="9" xfId="0" applyFont="1" applyBorder="1" applyAlignment="1">
      <alignment horizontal="center" vertical="top" wrapText="1"/>
    </xf>
    <xf numFmtId="3" fontId="17" fillId="0" borderId="9" xfId="0" applyNumberFormat="1" applyFont="1" applyBorder="1" applyAlignment="1">
      <alignment horizontal="right" vertical="top" wrapText="1"/>
    </xf>
    <xf numFmtId="0" fontId="28" fillId="0" borderId="9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3" fontId="11" fillId="0" borderId="9" xfId="0" applyNumberFormat="1" applyFont="1" applyBorder="1" applyAlignment="1">
      <alignment horizontal="right" vertical="top" wrapText="1"/>
    </xf>
    <xf numFmtId="1" fontId="17" fillId="0" borderId="9" xfId="0" applyNumberFormat="1" applyFont="1" applyBorder="1" applyAlignment="1">
      <alignment horizontal="right" wrapText="1"/>
    </xf>
    <xf numFmtId="185" fontId="10" fillId="0" borderId="0" xfId="0" applyNumberFormat="1" applyFont="1" applyBorder="1" applyAlignment="1">
      <alignment horizontal="center"/>
    </xf>
    <xf numFmtId="0" fontId="30" fillId="0" borderId="3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30" fillId="0" borderId="6" xfId="0" applyFont="1" applyBorder="1" applyAlignment="1">
      <alignment horizontal="right" wrapText="1"/>
    </xf>
    <xf numFmtId="0" fontId="31" fillId="0" borderId="6" xfId="0" applyFont="1" applyBorder="1" applyAlignment="1">
      <alignment horizontal="right" wrapText="1"/>
    </xf>
    <xf numFmtId="0" fontId="11" fillId="0" borderId="3" xfId="0" applyFont="1" applyBorder="1" applyAlignment="1">
      <alignment horizontal="right" vertical="top" wrapText="1"/>
    </xf>
    <xf numFmtId="0" fontId="29" fillId="0" borderId="6" xfId="0" applyFont="1" applyBorder="1" applyAlignment="1">
      <alignment horizontal="right" wrapText="1"/>
    </xf>
    <xf numFmtId="0" fontId="11" fillId="0" borderId="6" xfId="0" applyFont="1" applyBorder="1" applyAlignment="1">
      <alignment horizontal="right" vertical="top" wrapText="1"/>
    </xf>
    <xf numFmtId="0" fontId="24" fillId="0" borderId="6" xfId="0" applyFont="1" applyBorder="1" applyAlignment="1">
      <alignment horizontal="right" vertical="top" wrapText="1"/>
    </xf>
    <xf numFmtId="0" fontId="28" fillId="0" borderId="6" xfId="0" applyFont="1" applyBorder="1" applyAlignment="1">
      <alignment horizontal="right" vertical="top" wrapText="1"/>
    </xf>
    <xf numFmtId="0" fontId="17" fillId="0" borderId="6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right" vertical="top" wrapText="1"/>
    </xf>
    <xf numFmtId="0" fontId="20" fillId="0" borderId="6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right" vertical="top" wrapText="1"/>
    </xf>
    <xf numFmtId="0" fontId="20" fillId="0" borderId="6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191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right" wrapText="1"/>
    </xf>
    <xf numFmtId="0" fontId="16" fillId="0" borderId="6" xfId="0" applyFont="1" applyBorder="1" applyAlignment="1">
      <alignment horizontal="right" wrapText="1"/>
    </xf>
    <xf numFmtId="0" fontId="16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right" wrapText="1"/>
    </xf>
    <xf numFmtId="0" fontId="10" fillId="0" borderId="6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/>
    </xf>
    <xf numFmtId="0" fontId="17" fillId="0" borderId="3" xfId="0" applyFont="1" applyBorder="1" applyAlignment="1">
      <alignment horizontal="right" wrapText="1"/>
    </xf>
    <xf numFmtId="0" fontId="17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right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right" vertical="top" wrapText="1"/>
    </xf>
    <xf numFmtId="0" fontId="24" fillId="0" borderId="6" xfId="0" applyFont="1" applyBorder="1" applyAlignment="1">
      <alignment horizontal="right" wrapText="1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right" vertical="top" wrapText="1"/>
    </xf>
    <xf numFmtId="0" fontId="28" fillId="0" borderId="16" xfId="0" applyFont="1" applyBorder="1" applyAlignment="1">
      <alignment horizontal="right" vertical="top" wrapText="1"/>
    </xf>
    <xf numFmtId="0" fontId="17" fillId="0" borderId="6" xfId="0" applyFont="1" applyBorder="1" applyAlignment="1">
      <alignment horizontal="right" wrapText="1"/>
    </xf>
    <xf numFmtId="0" fontId="17" fillId="0" borderId="16" xfId="0" applyFont="1" applyBorder="1" applyAlignment="1">
      <alignment horizontal="right" wrapText="1"/>
    </xf>
    <xf numFmtId="0" fontId="11" fillId="0" borderId="1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wrapText="1"/>
    </xf>
    <xf numFmtId="0" fontId="28" fillId="0" borderId="1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right" vertical="top" wrapText="1"/>
    </xf>
    <xf numFmtId="2" fontId="11" fillId="0" borderId="3" xfId="0" applyNumberFormat="1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wrapText="1"/>
    </xf>
    <xf numFmtId="0" fontId="23" fillId="0" borderId="0" xfId="0" applyFont="1" applyFill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23" fillId="0" borderId="9" xfId="0" applyNumberFormat="1" applyFont="1" applyFill="1" applyBorder="1" applyAlignment="1">
      <alignment horizontal="right" vertical="center" wrapText="1"/>
    </xf>
    <xf numFmtId="165" fontId="23" fillId="0" borderId="9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left" vertical="center" wrapText="1"/>
    </xf>
    <xf numFmtId="1" fontId="23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1" fontId="17" fillId="0" borderId="12" xfId="0" applyNumberFormat="1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right" vertical="center" wrapText="1"/>
    </xf>
    <xf numFmtId="165" fontId="17" fillId="0" borderId="9" xfId="0" applyNumberFormat="1" applyFont="1" applyFill="1" applyBorder="1" applyAlignment="1">
      <alignment horizontal="right" vertical="center" wrapText="1"/>
    </xf>
    <xf numFmtId="165" fontId="17" fillId="0" borderId="9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right" vertical="center" wrapText="1"/>
    </xf>
    <xf numFmtId="1" fontId="17" fillId="0" borderId="9" xfId="0" applyNumberFormat="1" applyFont="1" applyFill="1" applyBorder="1" applyAlignment="1">
      <alignment horizontal="right" vertical="center"/>
    </xf>
    <xf numFmtId="1" fontId="17" fillId="0" borderId="9" xfId="0" applyNumberFormat="1" applyFont="1" applyFill="1" applyBorder="1" applyAlignment="1">
      <alignment vertical="center"/>
    </xf>
    <xf numFmtId="2" fontId="17" fillId="0" borderId="9" xfId="0" applyNumberFormat="1" applyFont="1" applyFill="1" applyBorder="1" applyAlignment="1">
      <alignment vertical="center"/>
    </xf>
    <xf numFmtId="2" fontId="17" fillId="0" borderId="9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right" vertical="center" wrapText="1"/>
    </xf>
    <xf numFmtId="1" fontId="11" fillId="0" borderId="12" xfId="0" applyNumberFormat="1" applyFont="1" applyFill="1" applyBorder="1" applyAlignment="1">
      <alignment horizontal="right" vertical="center" wrapText="1"/>
    </xf>
    <xf numFmtId="2" fontId="11" fillId="0" borderId="9" xfId="0" applyNumberFormat="1" applyFont="1" applyFill="1" applyBorder="1" applyAlignment="1">
      <alignment horizontal="right" vertical="center" wrapText="1"/>
    </xf>
    <xf numFmtId="165" fontId="11" fillId="0" borderId="9" xfId="0" applyNumberFormat="1" applyFont="1" applyFill="1" applyBorder="1" applyAlignment="1">
      <alignment horizontal="right" vertical="center" wrapText="1"/>
    </xf>
    <xf numFmtId="1" fontId="11" fillId="0" borderId="9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righ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right" vertical="center" wrapText="1"/>
    </xf>
    <xf numFmtId="1" fontId="17" fillId="5" borderId="12" xfId="0" applyNumberFormat="1" applyFont="1" applyFill="1" applyBorder="1" applyAlignment="1">
      <alignment horizontal="right" vertical="center" wrapText="1"/>
    </xf>
    <xf numFmtId="165" fontId="17" fillId="5" borderId="9" xfId="0" applyNumberFormat="1" applyFont="1" applyFill="1" applyBorder="1" applyAlignment="1">
      <alignment horizontal="right" vertical="center" wrapText="1"/>
    </xf>
    <xf numFmtId="165" fontId="17" fillId="5" borderId="9" xfId="0" applyNumberFormat="1" applyFont="1" applyFill="1" applyBorder="1" applyAlignment="1">
      <alignment horizontal="center" vertical="center" wrapText="1"/>
    </xf>
    <xf numFmtId="2" fontId="17" fillId="5" borderId="9" xfId="0" applyNumberFormat="1" applyFont="1" applyFill="1" applyBorder="1" applyAlignment="1">
      <alignment horizontal="right" vertical="center" wrapText="1"/>
    </xf>
    <xf numFmtId="0" fontId="17" fillId="5" borderId="0" xfId="0" applyFont="1" applyFill="1" applyAlignment="1">
      <alignment horizontal="center" vertical="center" wrapText="1"/>
    </xf>
    <xf numFmtId="165" fontId="11" fillId="5" borderId="9" xfId="0" applyNumberFormat="1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/>
    </xf>
    <xf numFmtId="1" fontId="17" fillId="5" borderId="9" xfId="0" applyNumberFormat="1" applyFont="1" applyFill="1" applyBorder="1" applyAlignment="1">
      <alignment horizontal="right" vertical="center"/>
    </xf>
    <xf numFmtId="1" fontId="17" fillId="5" borderId="9" xfId="0" applyNumberFormat="1" applyFont="1" applyFill="1" applyBorder="1" applyAlignment="1">
      <alignment vertical="center"/>
    </xf>
    <xf numFmtId="2" fontId="17" fillId="5" borderId="9" xfId="0" applyNumberFormat="1" applyFont="1" applyFill="1" applyBorder="1" applyAlignment="1">
      <alignment vertical="center"/>
    </xf>
    <xf numFmtId="2" fontId="17" fillId="5" borderId="9" xfId="0" applyNumberFormat="1" applyFont="1" applyFill="1" applyBorder="1" applyAlignment="1">
      <alignment horizontal="right" vertical="center"/>
    </xf>
    <xf numFmtId="0" fontId="11" fillId="5" borderId="9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right" vertical="center" wrapText="1"/>
    </xf>
    <xf numFmtId="1" fontId="11" fillId="5" borderId="12" xfId="0" applyNumberFormat="1" applyFont="1" applyFill="1" applyBorder="1" applyAlignment="1">
      <alignment horizontal="right" vertical="center" wrapText="1"/>
    </xf>
    <xf numFmtId="165" fontId="11" fillId="5" borderId="9" xfId="0" applyNumberFormat="1" applyFont="1" applyFill="1" applyBorder="1" applyAlignment="1">
      <alignment horizontal="right" vertical="center" wrapText="1"/>
    </xf>
    <xf numFmtId="2" fontId="11" fillId="5" borderId="9" xfId="0" applyNumberFormat="1" applyFont="1" applyFill="1" applyBorder="1" applyAlignment="1">
      <alignment horizontal="right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 quotePrefix="1">
      <alignment horizontal="left" vertical="center" wrapText="1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 wrapText="1"/>
    </xf>
    <xf numFmtId="0" fontId="37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1" fontId="11" fillId="5" borderId="12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20" fillId="0" borderId="9" xfId="0" applyFont="1" applyBorder="1" applyAlignment="1">
      <alignment horizontal="justify" vertical="top" wrapText="1"/>
    </xf>
    <xf numFmtId="0" fontId="20" fillId="0" borderId="9" xfId="0" applyFont="1" applyBorder="1" applyAlignment="1">
      <alignment horizontal="center" wrapText="1"/>
    </xf>
    <xf numFmtId="0" fontId="23" fillId="0" borderId="9" xfId="0" applyFont="1" applyBorder="1" applyAlignment="1">
      <alignment horizontal="right" wrapText="1"/>
    </xf>
    <xf numFmtId="0" fontId="15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right" vertical="top" wrapText="1"/>
    </xf>
    <xf numFmtId="0" fontId="38" fillId="0" borderId="9" xfId="0" applyFont="1" applyBorder="1" applyAlignment="1">
      <alignment horizontal="left" vertical="top" wrapText="1"/>
    </xf>
    <xf numFmtId="0" fontId="38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right" vertical="top" wrapText="1"/>
    </xf>
    <xf numFmtId="2" fontId="39" fillId="0" borderId="9" xfId="0" applyNumberFormat="1" applyFont="1" applyBorder="1" applyAlignment="1">
      <alignment horizontal="right" vertical="top" wrapText="1"/>
    </xf>
    <xf numFmtId="0" fontId="16" fillId="0" borderId="9" xfId="0" applyFont="1" applyBorder="1" applyAlignment="1">
      <alignment horizontal="center" vertical="top" wrapText="1"/>
    </xf>
    <xf numFmtId="165" fontId="39" fillId="0" borderId="9" xfId="0" applyNumberFormat="1" applyFont="1" applyBorder="1" applyAlignment="1">
      <alignment horizontal="right" vertical="top" wrapText="1"/>
    </xf>
    <xf numFmtId="0" fontId="39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0" fontId="10" fillId="0" borderId="9" xfId="0" applyNumberFormat="1" applyFont="1" applyBorder="1" applyAlignment="1">
      <alignment horizontal="right" vertical="top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right" vertical="center" wrapText="1"/>
    </xf>
    <xf numFmtId="165" fontId="20" fillId="0" borderId="9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/>
    </xf>
    <xf numFmtId="0" fontId="20" fillId="0" borderId="12" xfId="0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16" fontId="17" fillId="0" borderId="9" xfId="0" applyNumberFormat="1" applyFont="1" applyFill="1" applyBorder="1" applyAlignment="1">
      <alignment horizontal="left" wrapText="1"/>
    </xf>
    <xf numFmtId="16" fontId="11" fillId="0" borderId="9" xfId="0" applyNumberFormat="1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justify" vertical="top" wrapText="1"/>
    </xf>
    <xf numFmtId="0" fontId="41" fillId="0" borderId="9" xfId="0" applyFont="1" applyBorder="1" applyAlignment="1">
      <alignment horizontal="center"/>
    </xf>
    <xf numFmtId="0" fontId="41" fillId="0" borderId="9" xfId="0" applyFont="1" applyBorder="1" applyAlignment="1">
      <alignment horizontal="right"/>
    </xf>
    <xf numFmtId="0" fontId="40" fillId="0" borderId="9" xfId="0" applyFont="1" applyBorder="1" applyAlignment="1">
      <alignment horizontal="center"/>
    </xf>
    <xf numFmtId="0" fontId="40" fillId="0" borderId="9" xfId="0" applyFont="1" applyBorder="1" applyAlignment="1">
      <alignment horizontal="left"/>
    </xf>
    <xf numFmtId="0" fontId="40" fillId="0" borderId="9" xfId="0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justify" vertical="top" wrapText="1"/>
    </xf>
    <xf numFmtId="2" fontId="20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41" fillId="0" borderId="9" xfId="0" applyFont="1" applyBorder="1" applyAlignment="1">
      <alignment horizontal="left"/>
    </xf>
    <xf numFmtId="1" fontId="20" fillId="0" borderId="0" xfId="0" applyNumberFormat="1" applyFont="1" applyFill="1" applyAlignment="1">
      <alignment horizontal="center" vertical="center" wrapText="1"/>
    </xf>
    <xf numFmtId="0" fontId="10" fillId="5" borderId="9" xfId="0" applyFont="1" applyFill="1" applyBorder="1" applyAlignment="1">
      <alignment horizontal="left"/>
    </xf>
    <xf numFmtId="0" fontId="10" fillId="5" borderId="9" xfId="0" applyFont="1" applyFill="1" applyBorder="1" applyAlignment="1">
      <alignment/>
    </xf>
    <xf numFmtId="0" fontId="11" fillId="5" borderId="9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" fontId="23" fillId="0" borderId="9" xfId="0" applyNumberFormat="1" applyFont="1" applyBorder="1" applyAlignment="1">
      <alignment horizontal="center" wrapText="1"/>
    </xf>
    <xf numFmtId="0" fontId="23" fillId="0" borderId="9" xfId="0" applyFont="1" applyBorder="1" applyAlignment="1">
      <alignment horizontal="justify" vertical="top" wrapText="1"/>
    </xf>
    <xf numFmtId="1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wrapText="1"/>
    </xf>
    <xf numFmtId="2" fontId="2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right" wrapText="1"/>
    </xf>
    <xf numFmtId="0" fontId="11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center" wrapText="1"/>
    </xf>
    <xf numFmtId="2" fontId="10" fillId="0" borderId="9" xfId="0" applyNumberFormat="1" applyFont="1" applyBorder="1" applyAlignment="1">
      <alignment/>
    </xf>
    <xf numFmtId="2" fontId="10" fillId="5" borderId="9" xfId="0" applyNumberFormat="1" applyFont="1" applyFill="1" applyBorder="1" applyAlignment="1">
      <alignment/>
    </xf>
    <xf numFmtId="0" fontId="10" fillId="10" borderId="9" xfId="0" applyFont="1" applyFill="1" applyBorder="1" applyAlignment="1">
      <alignment horizontal="left"/>
    </xf>
    <xf numFmtId="0" fontId="10" fillId="10" borderId="9" xfId="0" applyFont="1" applyFill="1" applyBorder="1" applyAlignment="1">
      <alignment/>
    </xf>
    <xf numFmtId="2" fontId="15" fillId="10" borderId="9" xfId="0" applyNumberFormat="1" applyFont="1" applyFill="1" applyBorder="1" applyAlignment="1">
      <alignment/>
    </xf>
    <xf numFmtId="0" fontId="15" fillId="0" borderId="9" xfId="0" applyFont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justify" vertical="top" wrapText="1"/>
    </xf>
    <xf numFmtId="0" fontId="36" fillId="0" borderId="0" xfId="0" applyFont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</cellXfs>
  <cellStyles count="28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  <cellStyle name="똿뗦먛귟 [0.00]_PRODUCT DETAIL Q1" xfId="25"/>
    <cellStyle name="똿뗦먛귟_PRODUCT DETAIL Q1" xfId="26"/>
    <cellStyle name="믅됞 [0.00]_PRODUCT DETAIL Q1" xfId="27"/>
    <cellStyle name="믅됞_PRODUCT DETAIL Q1" xfId="28"/>
    <cellStyle name="백분율_95" xfId="29"/>
    <cellStyle name="뷭?_BOOKSHIP" xfId="30"/>
    <cellStyle name="一般_Book1" xfId="31"/>
    <cellStyle name="千分位[0]_Book1" xfId="32"/>
    <cellStyle name="千分位_Book1" xfId="33"/>
    <cellStyle name="콤마 [0]_1202" xfId="34"/>
    <cellStyle name="콤마_1202" xfId="35"/>
    <cellStyle name="통화 [0]_1202" xfId="36"/>
    <cellStyle name="통화_1202" xfId="37"/>
    <cellStyle name="표준_(정보부문)월별인원계획" xfId="38"/>
    <cellStyle name="표준_kc-elec system check list" xfId="39"/>
    <cellStyle name="貨幣 [0]_Book1" xfId="40"/>
    <cellStyle name="貨幣_Book1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yen\SENA\DOAN\THUCHIEN\TTGIAOLUUHH\Chiphidau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TKT"/>
      <sheetName val="HientrangSDD"/>
      <sheetName val="chitiet"/>
      <sheetName val="Chiphi"/>
      <sheetName val="Sheet3"/>
      <sheetName val="00000000"/>
      <sheetName val="00000001"/>
    </sheetNames>
    <sheetDataSet>
      <sheetData sheetId="0">
        <row r="7">
          <cell r="N7">
            <v>350</v>
          </cell>
          <cell r="T7">
            <v>25</v>
          </cell>
          <cell r="Z7">
            <v>1258</v>
          </cell>
        </row>
        <row r="8">
          <cell r="N8">
            <v>2125</v>
          </cell>
          <cell r="Z8">
            <v>40</v>
          </cell>
        </row>
        <row r="9">
          <cell r="N9">
            <v>494</v>
          </cell>
          <cell r="T9">
            <v>1981</v>
          </cell>
        </row>
        <row r="10">
          <cell r="N10">
            <v>415</v>
          </cell>
          <cell r="T10">
            <v>809</v>
          </cell>
          <cell r="Z10">
            <v>42</v>
          </cell>
          <cell r="AE10">
            <v>2660</v>
          </cell>
        </row>
        <row r="11">
          <cell r="N11">
            <v>305</v>
          </cell>
          <cell r="T11">
            <v>1200</v>
          </cell>
          <cell r="Z11">
            <v>3</v>
          </cell>
        </row>
        <row r="12">
          <cell r="N12">
            <v>485</v>
          </cell>
          <cell r="T12">
            <v>15</v>
          </cell>
        </row>
        <row r="13">
          <cell r="N13">
            <v>990</v>
          </cell>
          <cell r="AE13">
            <v>4360</v>
          </cell>
        </row>
        <row r="14">
          <cell r="E14">
            <v>4026</v>
          </cell>
          <cell r="N14">
            <v>175</v>
          </cell>
          <cell r="AE14">
            <v>190</v>
          </cell>
        </row>
        <row r="15">
          <cell r="AE15">
            <v>950</v>
          </cell>
        </row>
        <row r="16">
          <cell r="N16">
            <v>15</v>
          </cell>
          <cell r="AE16">
            <v>7</v>
          </cell>
        </row>
        <row r="17">
          <cell r="F17">
            <v>59867</v>
          </cell>
          <cell r="N17">
            <v>71</v>
          </cell>
        </row>
        <row r="18">
          <cell r="H18">
            <v>37848</v>
          </cell>
          <cell r="N18">
            <v>11</v>
          </cell>
        </row>
        <row r="19">
          <cell r="G19">
            <v>11288</v>
          </cell>
          <cell r="N19">
            <v>14</v>
          </cell>
        </row>
        <row r="20">
          <cell r="N20">
            <v>9</v>
          </cell>
        </row>
        <row r="21">
          <cell r="N21">
            <v>18</v>
          </cell>
        </row>
        <row r="22">
          <cell r="N22">
            <v>7</v>
          </cell>
        </row>
      </sheetData>
      <sheetData sheetId="1">
        <row r="7">
          <cell r="F7">
            <v>411692</v>
          </cell>
        </row>
        <row r="8">
          <cell r="F8">
            <v>398678</v>
          </cell>
        </row>
        <row r="9">
          <cell r="F9">
            <v>13014</v>
          </cell>
        </row>
      </sheetData>
      <sheetData sheetId="2">
        <row r="7">
          <cell r="F7">
            <v>18986</v>
          </cell>
          <cell r="G7">
            <v>5695.8</v>
          </cell>
          <cell r="K7">
            <v>17087.4</v>
          </cell>
        </row>
        <row r="8">
          <cell r="F8">
            <v>148379</v>
          </cell>
          <cell r="G8">
            <v>57113</v>
          </cell>
          <cell r="K8">
            <v>85669.5</v>
          </cell>
        </row>
        <row r="10">
          <cell r="F10">
            <v>19786</v>
          </cell>
        </row>
        <row r="11">
          <cell r="F11">
            <v>14367</v>
          </cell>
        </row>
        <row r="14">
          <cell r="F14">
            <v>15341</v>
          </cell>
        </row>
        <row r="15">
          <cell r="G15">
            <v>1002.3</v>
          </cell>
          <cell r="K15">
            <v>2004.6</v>
          </cell>
        </row>
        <row r="16">
          <cell r="F16">
            <v>12000</v>
          </cell>
        </row>
        <row r="17">
          <cell r="F17">
            <v>8767</v>
          </cell>
        </row>
        <row r="21">
          <cell r="F21">
            <v>43490</v>
          </cell>
        </row>
        <row r="22">
          <cell r="F22">
            <v>120000</v>
          </cell>
        </row>
        <row r="23">
          <cell r="F23">
            <v>12232</v>
          </cell>
        </row>
        <row r="26">
          <cell r="F26">
            <v>12098</v>
          </cell>
          <cell r="G26">
            <v>604.9</v>
          </cell>
          <cell r="K26">
            <v>604.9</v>
          </cell>
        </row>
        <row r="35">
          <cell r="F35">
            <v>484004</v>
          </cell>
        </row>
        <row r="36">
          <cell r="F36">
            <v>475386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67"/>
  <sheetViews>
    <sheetView workbookViewId="0" topLeftCell="A28">
      <selection activeCell="C38" sqref="C38:C41"/>
    </sheetView>
  </sheetViews>
  <sheetFormatPr defaultColWidth="9.140625" defaultRowHeight="12.75"/>
  <cols>
    <col min="1" max="1" width="9.140625" style="312" customWidth="1"/>
    <col min="2" max="2" width="6.8515625" style="312" customWidth="1"/>
    <col min="3" max="3" width="43.7109375" style="312" customWidth="1"/>
    <col min="4" max="4" width="10.8515625" style="312" customWidth="1"/>
    <col min="5" max="5" width="14.140625" style="312" customWidth="1"/>
    <col min="6" max="6" width="25.00390625" style="312" customWidth="1"/>
    <col min="7" max="7" width="11.57421875" style="312" customWidth="1"/>
    <col min="8" max="8" width="16.421875" style="312" customWidth="1"/>
    <col min="9" max="9" width="10.8515625" style="312" customWidth="1"/>
    <col min="10" max="10" width="9.7109375" style="312" customWidth="1"/>
    <col min="11" max="11" width="13.140625" style="312" customWidth="1"/>
    <col min="12" max="13" width="7.7109375" style="312" bestFit="1" customWidth="1"/>
    <col min="14" max="14" width="7.140625" style="312" bestFit="1" customWidth="1"/>
    <col min="15" max="15" width="8.57421875" style="312" customWidth="1"/>
    <col min="16" max="16" width="12.57421875" style="312" customWidth="1"/>
    <col min="17" max="17" width="13.140625" style="312" customWidth="1"/>
    <col min="18" max="18" width="10.8515625" style="312" customWidth="1"/>
    <col min="19" max="20" width="6.8515625" style="312" customWidth="1"/>
    <col min="21" max="21" width="7.8515625" style="312" customWidth="1"/>
    <col min="22" max="22" width="8.8515625" style="312" customWidth="1"/>
    <col min="23" max="23" width="9.140625" style="312" customWidth="1"/>
    <col min="24" max="24" width="16.8515625" style="312" customWidth="1"/>
    <col min="25" max="16384" width="9.140625" style="312" customWidth="1"/>
  </cols>
  <sheetData>
    <row r="2" spans="2:6" ht="14.25">
      <c r="B2" s="371"/>
      <c r="C2" s="420" t="s">
        <v>426</v>
      </c>
      <c r="D2" s="420"/>
      <c r="E2" s="420"/>
      <c r="F2" s="372"/>
    </row>
    <row r="3" spans="2:6" ht="14.25">
      <c r="B3" s="371"/>
      <c r="C3" s="373"/>
      <c r="D3" s="371"/>
      <c r="E3" s="372"/>
      <c r="F3" s="372"/>
    </row>
    <row r="4" spans="2:30" ht="16.5" customHeight="1">
      <c r="B4" s="356" t="s">
        <v>427</v>
      </c>
      <c r="C4" s="356" t="s">
        <v>428</v>
      </c>
      <c r="D4" s="356" t="s">
        <v>429</v>
      </c>
      <c r="E4" s="356" t="s">
        <v>430</v>
      </c>
      <c r="F4" s="356" t="s">
        <v>431</v>
      </c>
      <c r="N4" s="374"/>
      <c r="O4" s="374"/>
      <c r="P4" s="374"/>
      <c r="Q4" s="374"/>
      <c r="R4" s="375"/>
      <c r="W4" s="418"/>
      <c r="X4" s="418"/>
      <c r="Y4" s="418"/>
      <c r="Z4" s="418"/>
      <c r="AA4" s="418"/>
      <c r="AB4" s="418"/>
      <c r="AC4" s="418"/>
      <c r="AD4" s="419"/>
    </row>
    <row r="5" spans="2:30" ht="14.25">
      <c r="B5" s="378" t="s">
        <v>56</v>
      </c>
      <c r="C5" s="378" t="s">
        <v>432</v>
      </c>
      <c r="D5" s="378"/>
      <c r="E5" s="378">
        <f>SUM(E6:E11)</f>
        <v>2758</v>
      </c>
      <c r="F5" s="379" t="s">
        <v>433</v>
      </c>
      <c r="N5" s="374"/>
      <c r="P5" s="374"/>
      <c r="Q5" s="374"/>
      <c r="R5" s="375"/>
      <c r="W5" s="418"/>
      <c r="X5" s="418"/>
      <c r="Y5" s="418"/>
      <c r="Z5" s="376"/>
      <c r="AA5" s="376"/>
      <c r="AB5" s="376"/>
      <c r="AC5" s="376"/>
      <c r="AD5" s="419"/>
    </row>
    <row r="6" spans="2:30" s="313" customFormat="1" ht="15">
      <c r="B6" s="380">
        <v>1</v>
      </c>
      <c r="C6" s="381" t="s">
        <v>434</v>
      </c>
      <c r="D6" s="380" t="s">
        <v>8</v>
      </c>
      <c r="E6" s="382">
        <v>1825</v>
      </c>
      <c r="F6" s="356"/>
      <c r="G6" s="383"/>
      <c r="H6" s="383"/>
      <c r="I6" s="383"/>
      <c r="J6" s="383"/>
      <c r="K6" s="383"/>
      <c r="L6" s="384"/>
      <c r="N6" s="383"/>
      <c r="P6" s="383"/>
      <c r="Q6" s="383"/>
      <c r="R6" s="385"/>
      <c r="W6" s="386"/>
      <c r="X6" s="386"/>
      <c r="Y6" s="386"/>
      <c r="Z6" s="386"/>
      <c r="AA6" s="386"/>
      <c r="AB6" s="386"/>
      <c r="AC6" s="386"/>
      <c r="AD6" s="387"/>
    </row>
    <row r="7" spans="2:39" ht="15">
      <c r="B7" s="380">
        <v>2</v>
      </c>
      <c r="C7" s="381" t="s">
        <v>435</v>
      </c>
      <c r="D7" s="380" t="s">
        <v>8</v>
      </c>
      <c r="E7" s="382">
        <v>308</v>
      </c>
      <c r="F7" s="356"/>
      <c r="G7" s="374"/>
      <c r="H7" s="374"/>
      <c r="I7" s="374"/>
      <c r="J7" s="374"/>
      <c r="K7" s="388"/>
      <c r="N7" s="374"/>
      <c r="P7" s="374"/>
      <c r="Q7" s="374"/>
      <c r="R7" s="375"/>
      <c r="W7" s="376"/>
      <c r="X7" s="377"/>
      <c r="Y7" s="375"/>
      <c r="Z7" s="375"/>
      <c r="AA7" s="375"/>
      <c r="AB7" s="375"/>
      <c r="AC7" s="375"/>
      <c r="AD7" s="377"/>
      <c r="AM7" s="389"/>
    </row>
    <row r="8" spans="2:39" ht="15">
      <c r="B8" s="380">
        <v>3</v>
      </c>
      <c r="C8" s="381" t="s">
        <v>436</v>
      </c>
      <c r="D8" s="380" t="s">
        <v>8</v>
      </c>
      <c r="E8" s="382">
        <v>238</v>
      </c>
      <c r="F8" s="356"/>
      <c r="G8" s="374"/>
      <c r="H8" s="374"/>
      <c r="I8" s="374"/>
      <c r="J8" s="374"/>
      <c r="K8" s="374"/>
      <c r="N8" s="374"/>
      <c r="P8" s="374"/>
      <c r="Q8" s="374"/>
      <c r="R8" s="375"/>
      <c r="W8" s="376"/>
      <c r="X8" s="377"/>
      <c r="Y8" s="375"/>
      <c r="Z8" s="375"/>
      <c r="AA8" s="375"/>
      <c r="AB8" s="375"/>
      <c r="AC8" s="375"/>
      <c r="AD8" s="377"/>
      <c r="AM8" s="389"/>
    </row>
    <row r="9" spans="2:39" ht="15">
      <c r="B9" s="380">
        <v>4</v>
      </c>
      <c r="C9" s="381" t="s">
        <v>437</v>
      </c>
      <c r="D9" s="380" t="s">
        <v>8</v>
      </c>
      <c r="E9" s="382">
        <v>70</v>
      </c>
      <c r="F9" s="356"/>
      <c r="G9" s="374"/>
      <c r="H9" s="374"/>
      <c r="I9" s="374"/>
      <c r="J9" s="374"/>
      <c r="K9" s="388"/>
      <c r="N9" s="374"/>
      <c r="P9" s="374"/>
      <c r="Q9" s="374"/>
      <c r="R9" s="375"/>
      <c r="W9" s="376"/>
      <c r="X9" s="377"/>
      <c r="Y9" s="375"/>
      <c r="Z9" s="375"/>
      <c r="AA9" s="375"/>
      <c r="AB9" s="375"/>
      <c r="AC9" s="375"/>
      <c r="AD9" s="377"/>
      <c r="AM9" s="389"/>
    </row>
    <row r="10" spans="2:39" ht="15">
      <c r="B10" s="380">
        <v>5</v>
      </c>
      <c r="C10" s="381" t="s">
        <v>438</v>
      </c>
      <c r="D10" s="380" t="s">
        <v>8</v>
      </c>
      <c r="E10" s="382">
        <v>85</v>
      </c>
      <c r="F10" s="356"/>
      <c r="G10" s="374"/>
      <c r="H10" s="374"/>
      <c r="I10" s="374"/>
      <c r="J10" s="374"/>
      <c r="K10" s="388"/>
      <c r="N10" s="374"/>
      <c r="P10" s="374"/>
      <c r="Q10" s="374"/>
      <c r="R10" s="375"/>
      <c r="W10" s="376"/>
      <c r="X10" s="377"/>
      <c r="Y10" s="375"/>
      <c r="Z10" s="375"/>
      <c r="AA10" s="385"/>
      <c r="AB10" s="375"/>
      <c r="AC10" s="385"/>
      <c r="AD10" s="377"/>
      <c r="AM10" s="389"/>
    </row>
    <row r="11" spans="2:39" ht="16.5" customHeight="1">
      <c r="B11" s="380">
        <v>6</v>
      </c>
      <c r="C11" s="381" t="s">
        <v>439</v>
      </c>
      <c r="D11" s="380" t="s">
        <v>8</v>
      </c>
      <c r="E11" s="382">
        <v>232</v>
      </c>
      <c r="F11" s="356"/>
      <c r="G11" s="374"/>
      <c r="H11" s="374"/>
      <c r="I11" s="374"/>
      <c r="J11" s="374"/>
      <c r="K11" s="374"/>
      <c r="N11" s="374"/>
      <c r="P11" s="374"/>
      <c r="Q11" s="374"/>
      <c r="R11" s="375"/>
      <c r="W11" s="376"/>
      <c r="X11" s="377"/>
      <c r="Y11" s="375"/>
      <c r="Z11" s="376"/>
      <c r="AA11" s="376"/>
      <c r="AB11" s="376"/>
      <c r="AC11" s="376"/>
      <c r="AD11" s="377"/>
      <c r="AL11" s="389"/>
      <c r="AM11" s="389"/>
    </row>
    <row r="12" spans="2:39" ht="16.5" customHeight="1">
      <c r="B12" s="380">
        <v>7</v>
      </c>
      <c r="C12" s="381" t="s">
        <v>440</v>
      </c>
      <c r="D12" s="356"/>
      <c r="E12" s="356"/>
      <c r="F12" s="356"/>
      <c r="G12" s="374"/>
      <c r="H12" s="374"/>
      <c r="I12" s="374"/>
      <c r="J12" s="374"/>
      <c r="K12" s="388"/>
      <c r="N12" s="374"/>
      <c r="P12" s="374"/>
      <c r="Q12" s="374"/>
      <c r="R12" s="375"/>
      <c r="W12" s="418"/>
      <c r="X12" s="418"/>
      <c r="Y12" s="418"/>
      <c r="Z12" s="418"/>
      <c r="AA12" s="418"/>
      <c r="AB12" s="418"/>
      <c r="AC12" s="418"/>
      <c r="AD12" s="419"/>
      <c r="AL12" s="389"/>
      <c r="AM12" s="389"/>
    </row>
    <row r="13" spans="2:39" ht="16.5" customHeight="1">
      <c r="B13" s="378" t="s">
        <v>170</v>
      </c>
      <c r="C13" s="378" t="s">
        <v>441</v>
      </c>
      <c r="D13" s="378"/>
      <c r="E13" s="378"/>
      <c r="F13" s="379" t="s">
        <v>433</v>
      </c>
      <c r="G13" s="374"/>
      <c r="H13" s="374"/>
      <c r="I13" s="374"/>
      <c r="J13" s="374"/>
      <c r="K13" s="388"/>
      <c r="N13" s="374"/>
      <c r="P13" s="374"/>
      <c r="Q13" s="374"/>
      <c r="R13" s="375"/>
      <c r="W13" s="418"/>
      <c r="X13" s="418"/>
      <c r="Y13" s="418"/>
      <c r="Z13" s="376"/>
      <c r="AA13" s="376"/>
      <c r="AB13" s="376"/>
      <c r="AC13" s="376"/>
      <c r="AD13" s="419"/>
      <c r="AL13" s="389"/>
      <c r="AM13" s="389"/>
    </row>
    <row r="14" spans="2:38" ht="19.5" customHeight="1">
      <c r="B14" s="380">
        <v>1</v>
      </c>
      <c r="C14" s="381" t="s">
        <v>442</v>
      </c>
      <c r="D14" s="380" t="s">
        <v>8</v>
      </c>
      <c r="E14" s="382">
        <v>1820</v>
      </c>
      <c r="F14" s="382"/>
      <c r="G14" s="374"/>
      <c r="H14" s="374"/>
      <c r="I14" s="374"/>
      <c r="J14" s="374"/>
      <c r="K14" s="374"/>
      <c r="N14" s="374"/>
      <c r="P14" s="374"/>
      <c r="Q14" s="374"/>
      <c r="R14" s="375"/>
      <c r="W14" s="418"/>
      <c r="X14" s="418"/>
      <c r="Y14" s="418"/>
      <c r="Z14" s="376"/>
      <c r="AA14" s="376"/>
      <c r="AB14" s="376"/>
      <c r="AC14" s="376"/>
      <c r="AD14" s="419"/>
      <c r="AL14" s="389"/>
    </row>
    <row r="15" spans="2:38" ht="15.75" customHeight="1">
      <c r="B15" s="380">
        <v>2</v>
      </c>
      <c r="C15" s="381" t="s">
        <v>443</v>
      </c>
      <c r="D15" s="380" t="s">
        <v>444</v>
      </c>
      <c r="E15" s="382">
        <v>2</v>
      </c>
      <c r="F15" s="382"/>
      <c r="G15" s="374"/>
      <c r="H15" s="374"/>
      <c r="I15" s="374"/>
      <c r="J15" s="374"/>
      <c r="K15" s="374"/>
      <c r="N15" s="376"/>
      <c r="O15" s="377"/>
      <c r="P15" s="376"/>
      <c r="Q15" s="376"/>
      <c r="R15" s="375"/>
      <c r="W15" s="376"/>
      <c r="X15" s="377"/>
      <c r="Y15" s="375"/>
      <c r="Z15" s="375"/>
      <c r="AA15" s="375"/>
      <c r="AB15" s="375"/>
      <c r="AC15" s="375"/>
      <c r="AD15" s="377"/>
      <c r="AL15" s="389"/>
    </row>
    <row r="16" spans="2:38" s="313" customFormat="1" ht="15">
      <c r="B16" s="380">
        <v>3</v>
      </c>
      <c r="C16" s="381" t="s">
        <v>445</v>
      </c>
      <c r="D16" s="380" t="s">
        <v>444</v>
      </c>
      <c r="E16" s="382">
        <v>3</v>
      </c>
      <c r="F16" s="382"/>
      <c r="G16" s="390"/>
      <c r="H16" s="390"/>
      <c r="I16" s="383"/>
      <c r="N16" s="386"/>
      <c r="O16" s="387"/>
      <c r="P16" s="386"/>
      <c r="Q16" s="386"/>
      <c r="R16" s="385"/>
      <c r="W16" s="386"/>
      <c r="X16" s="387"/>
      <c r="Y16" s="385"/>
      <c r="Z16" s="385"/>
      <c r="AA16" s="385"/>
      <c r="AB16" s="385"/>
      <c r="AC16" s="385"/>
      <c r="AD16" s="387"/>
      <c r="AL16" s="389"/>
    </row>
    <row r="17" spans="2:38" ht="15" customHeight="1">
      <c r="B17" s="378" t="s">
        <v>208</v>
      </c>
      <c r="C17" s="378" t="s">
        <v>446</v>
      </c>
      <c r="D17" s="378"/>
      <c r="E17" s="378"/>
      <c r="F17" s="379" t="s">
        <v>447</v>
      </c>
      <c r="G17" s="374"/>
      <c r="H17" s="374"/>
      <c r="I17" s="374"/>
      <c r="N17" s="376"/>
      <c r="O17" s="377"/>
      <c r="P17" s="376"/>
      <c r="Q17" s="376"/>
      <c r="R17" s="375"/>
      <c r="W17" s="376"/>
      <c r="X17" s="377"/>
      <c r="Y17" s="375"/>
      <c r="Z17" s="375"/>
      <c r="AA17" s="375"/>
      <c r="AB17" s="375"/>
      <c r="AC17" s="375"/>
      <c r="AD17" s="377"/>
      <c r="AL17" s="389"/>
    </row>
    <row r="18" spans="2:38" ht="15">
      <c r="B18" s="380">
        <v>1</v>
      </c>
      <c r="C18" s="381" t="s">
        <v>448</v>
      </c>
      <c r="D18" s="380" t="s">
        <v>8</v>
      </c>
      <c r="E18" s="382">
        <v>1922</v>
      </c>
      <c r="F18" s="382"/>
      <c r="G18" s="374"/>
      <c r="H18" s="374"/>
      <c r="I18" s="374"/>
      <c r="N18" s="376"/>
      <c r="O18" s="377"/>
      <c r="P18" s="376"/>
      <c r="Q18" s="376"/>
      <c r="R18" s="375"/>
      <c r="W18" s="376"/>
      <c r="X18" s="377"/>
      <c r="Y18" s="375"/>
      <c r="Z18" s="375"/>
      <c r="AA18" s="385"/>
      <c r="AB18" s="375"/>
      <c r="AC18" s="385"/>
      <c r="AD18" s="377"/>
      <c r="AL18" s="389"/>
    </row>
    <row r="19" spans="2:38" ht="15">
      <c r="B19" s="380">
        <v>2</v>
      </c>
      <c r="C19" s="381" t="s">
        <v>460</v>
      </c>
      <c r="D19" s="380"/>
      <c r="E19" s="382">
        <f>SUM(E20:E24)</f>
        <v>5446</v>
      </c>
      <c r="F19" s="382"/>
      <c r="G19" s="374"/>
      <c r="H19" s="374"/>
      <c r="I19" s="374"/>
      <c r="N19" s="376"/>
      <c r="O19" s="377"/>
      <c r="P19" s="376"/>
      <c r="Q19" s="376"/>
      <c r="R19" s="375"/>
      <c r="W19" s="376"/>
      <c r="X19" s="377"/>
      <c r="Y19" s="375"/>
      <c r="Z19" s="375"/>
      <c r="AA19" s="385"/>
      <c r="AB19" s="375"/>
      <c r="AC19" s="385"/>
      <c r="AD19" s="377"/>
      <c r="AL19" s="389"/>
    </row>
    <row r="20" spans="2:18" ht="14.25">
      <c r="B20" s="380"/>
      <c r="C20" s="381" t="s">
        <v>449</v>
      </c>
      <c r="D20" s="380" t="s">
        <v>8</v>
      </c>
      <c r="E20" s="382">
        <v>261</v>
      </c>
      <c r="F20" s="382"/>
      <c r="G20" s="374"/>
      <c r="H20" s="374"/>
      <c r="I20" s="374"/>
      <c r="N20" s="376"/>
      <c r="O20" s="377"/>
      <c r="P20" s="376"/>
      <c r="Q20" s="376"/>
      <c r="R20" s="375"/>
    </row>
    <row r="21" spans="2:18" ht="15">
      <c r="B21" s="380"/>
      <c r="C21" s="381" t="s">
        <v>450</v>
      </c>
      <c r="D21" s="380" t="s">
        <v>8</v>
      </c>
      <c r="E21" s="382">
        <v>820</v>
      </c>
      <c r="F21" s="382"/>
      <c r="G21" s="374"/>
      <c r="H21" s="374"/>
      <c r="I21" s="374"/>
      <c r="N21" s="386"/>
      <c r="O21" s="387"/>
      <c r="P21" s="386"/>
      <c r="Q21" s="385"/>
      <c r="R21" s="375"/>
    </row>
    <row r="22" spans="2:18" ht="14.25">
      <c r="B22" s="380"/>
      <c r="C22" s="381" t="s">
        <v>451</v>
      </c>
      <c r="D22" s="380" t="s">
        <v>8</v>
      </c>
      <c r="E22" s="382">
        <v>1062</v>
      </c>
      <c r="F22" s="382"/>
      <c r="G22" s="374"/>
      <c r="H22" s="374"/>
      <c r="I22" s="374"/>
      <c r="N22" s="376"/>
      <c r="O22" s="377"/>
      <c r="P22" s="376"/>
      <c r="Q22" s="376"/>
      <c r="R22" s="375"/>
    </row>
    <row r="23" spans="2:18" ht="14.25">
      <c r="B23" s="380"/>
      <c r="C23" s="381" t="s">
        <v>452</v>
      </c>
      <c r="D23" s="380" t="s">
        <v>8</v>
      </c>
      <c r="E23" s="382">
        <v>3198</v>
      </c>
      <c r="F23" s="382"/>
      <c r="G23" s="374"/>
      <c r="H23" s="374"/>
      <c r="I23" s="374"/>
      <c r="N23" s="376"/>
      <c r="O23" s="377"/>
      <c r="P23" s="376"/>
      <c r="Q23" s="376"/>
      <c r="R23" s="375"/>
    </row>
    <row r="24" spans="2:18" ht="14.25">
      <c r="B24" s="380"/>
      <c r="C24" s="381" t="s">
        <v>453</v>
      </c>
      <c r="D24" s="380" t="s">
        <v>8</v>
      </c>
      <c r="E24" s="382">
        <v>105</v>
      </c>
      <c r="F24" s="382"/>
      <c r="G24" s="374"/>
      <c r="H24" s="374"/>
      <c r="I24" s="374"/>
      <c r="N24" s="376"/>
      <c r="O24" s="377"/>
      <c r="P24" s="376"/>
      <c r="Q24" s="376"/>
      <c r="R24" s="375"/>
    </row>
    <row r="25" spans="2:6" s="391" customFormat="1" ht="14.25">
      <c r="B25" s="378" t="s">
        <v>212</v>
      </c>
      <c r="C25" s="378" t="s">
        <v>459</v>
      </c>
      <c r="D25" s="378"/>
      <c r="E25" s="378"/>
      <c r="F25" s="378"/>
    </row>
    <row r="26" spans="2:6" s="391" customFormat="1" ht="14.25">
      <c r="B26" s="378">
        <v>1</v>
      </c>
      <c r="C26" s="392" t="s">
        <v>461</v>
      </c>
      <c r="D26" s="392"/>
      <c r="E26" s="379">
        <f>SUM(E27:E29)</f>
        <v>3501</v>
      </c>
      <c r="F26" s="378"/>
    </row>
    <row r="27" spans="2:6" ht="14.25">
      <c r="B27" s="380"/>
      <c r="C27" s="381" t="s">
        <v>454</v>
      </c>
      <c r="D27" s="380" t="s">
        <v>8</v>
      </c>
      <c r="E27" s="382">
        <v>1870</v>
      </c>
      <c r="F27" s="356"/>
    </row>
    <row r="28" spans="2:6" ht="14.25">
      <c r="B28" s="380"/>
      <c r="C28" s="381" t="s">
        <v>455</v>
      </c>
      <c r="D28" s="380" t="s">
        <v>8</v>
      </c>
      <c r="E28" s="382">
        <v>185</v>
      </c>
      <c r="F28" s="356"/>
    </row>
    <row r="29" spans="2:6" s="374" customFormat="1" ht="14.25">
      <c r="B29" s="380"/>
      <c r="C29" s="381" t="s">
        <v>456</v>
      </c>
      <c r="D29" s="380" t="s">
        <v>8</v>
      </c>
      <c r="E29" s="382">
        <v>1446</v>
      </c>
      <c r="F29" s="356"/>
    </row>
    <row r="30" spans="2:6" s="383" customFormat="1" ht="15">
      <c r="B30" s="380">
        <v>2</v>
      </c>
      <c r="C30" s="381" t="s">
        <v>457</v>
      </c>
      <c r="D30" s="380" t="s">
        <v>458</v>
      </c>
      <c r="E30" s="382">
        <v>13</v>
      </c>
      <c r="F30" s="382"/>
    </row>
    <row r="31" spans="3:4" ht="14.25">
      <c r="C31" s="397"/>
      <c r="D31" s="374"/>
    </row>
    <row r="32" spans="3:4" ht="14.25">
      <c r="C32" s="397"/>
      <c r="D32" s="374"/>
    </row>
    <row r="33" spans="3:4" ht="14.25">
      <c r="C33" s="397"/>
      <c r="D33" s="374"/>
    </row>
    <row r="34" spans="3:4" ht="14.25">
      <c r="C34" s="397" t="s">
        <v>517</v>
      </c>
      <c r="D34" s="374"/>
    </row>
    <row r="35" spans="3:4" s="313" customFormat="1" ht="15">
      <c r="C35" s="398"/>
      <c r="D35" s="383"/>
    </row>
    <row r="36" spans="2:9" ht="15">
      <c r="B36" s="192">
        <v>1</v>
      </c>
      <c r="C36" s="192" t="s">
        <v>518</v>
      </c>
      <c r="D36" s="194" t="s">
        <v>679</v>
      </c>
      <c r="E36" s="408" t="s">
        <v>680</v>
      </c>
      <c r="F36" s="177"/>
      <c r="G36" s="177"/>
      <c r="H36" s="177"/>
      <c r="I36" s="180"/>
    </row>
    <row r="37" spans="2:9" ht="15.75" customHeight="1">
      <c r="B37" s="409">
        <v>1</v>
      </c>
      <c r="C37" s="409" t="s">
        <v>677</v>
      </c>
      <c r="D37" s="194"/>
      <c r="E37" s="408">
        <f>SUM(E38:E41)</f>
        <v>2508</v>
      </c>
      <c r="F37" s="335"/>
      <c r="G37" s="335"/>
      <c r="H37" s="335"/>
      <c r="I37" s="324"/>
    </row>
    <row r="38" spans="2:9" ht="18.75" customHeight="1">
      <c r="B38" s="409"/>
      <c r="C38" s="409" t="s">
        <v>681</v>
      </c>
      <c r="D38" s="194">
        <v>17.17</v>
      </c>
      <c r="E38" s="410">
        <v>428</v>
      </c>
      <c r="F38" s="335"/>
      <c r="G38" s="335"/>
      <c r="H38" s="335"/>
      <c r="I38" s="324"/>
    </row>
    <row r="39" spans="2:9" ht="15">
      <c r="B39" s="409"/>
      <c r="C39" s="409" t="s">
        <v>682</v>
      </c>
      <c r="D39" s="194">
        <v>21.3</v>
      </c>
      <c r="E39" s="410">
        <v>167</v>
      </c>
      <c r="F39" s="335"/>
      <c r="G39" s="335"/>
      <c r="H39" s="335"/>
      <c r="I39" s="324"/>
    </row>
    <row r="40" spans="2:9" ht="15">
      <c r="B40" s="409"/>
      <c r="C40" s="409" t="s">
        <v>683</v>
      </c>
      <c r="D40" s="194">
        <v>17.7</v>
      </c>
      <c r="E40" s="410">
        <v>867</v>
      </c>
      <c r="F40" s="335"/>
      <c r="G40" s="335"/>
      <c r="H40" s="335"/>
      <c r="I40" s="324"/>
    </row>
    <row r="41" spans="2:9" ht="15">
      <c r="B41" s="409"/>
      <c r="C41" s="409" t="s">
        <v>684</v>
      </c>
      <c r="D41" s="194">
        <v>33.9</v>
      </c>
      <c r="E41" s="410">
        <v>1046</v>
      </c>
      <c r="F41" s="335"/>
      <c r="G41" s="335"/>
      <c r="H41" s="335"/>
      <c r="I41" s="324"/>
    </row>
    <row r="42" spans="2:9" ht="15">
      <c r="B42" s="334"/>
      <c r="C42" s="334"/>
      <c r="D42" s="177"/>
      <c r="E42" s="335"/>
      <c r="F42" s="335"/>
      <c r="G42" s="335"/>
      <c r="H42" s="335"/>
      <c r="I42" s="324"/>
    </row>
    <row r="43" spans="2:9" ht="15">
      <c r="B43" s="334"/>
      <c r="C43" s="334"/>
      <c r="D43" s="177"/>
      <c r="E43" s="335"/>
      <c r="F43" s="335"/>
      <c r="G43" s="335"/>
      <c r="H43" s="335"/>
      <c r="I43" s="324"/>
    </row>
    <row r="44" spans="2:9" ht="15">
      <c r="B44" s="334">
        <v>2</v>
      </c>
      <c r="C44" s="334" t="s">
        <v>678</v>
      </c>
      <c r="D44" s="177" t="s">
        <v>533</v>
      </c>
      <c r="E44" s="336">
        <v>238</v>
      </c>
      <c r="F44" s="335" t="s">
        <v>519</v>
      </c>
      <c r="G44" s="335">
        <v>3</v>
      </c>
      <c r="H44" s="335" t="s">
        <v>520</v>
      </c>
      <c r="I44" s="324"/>
    </row>
    <row r="45" spans="2:9" ht="15">
      <c r="B45" s="334" t="s">
        <v>58</v>
      </c>
      <c r="C45" s="334" t="s">
        <v>521</v>
      </c>
      <c r="D45" s="177"/>
      <c r="E45" s="336">
        <f>SUM(E46:E48)</f>
        <v>392</v>
      </c>
      <c r="F45" s="335" t="s">
        <v>519</v>
      </c>
      <c r="G45" s="335">
        <v>3</v>
      </c>
      <c r="H45" s="335" t="s">
        <v>520</v>
      </c>
      <c r="I45" s="324"/>
    </row>
    <row r="46" spans="2:9" ht="15">
      <c r="B46" s="334"/>
      <c r="C46" s="334" t="s">
        <v>534</v>
      </c>
      <c r="D46" s="177" t="s">
        <v>530</v>
      </c>
      <c r="E46" s="335">
        <v>178</v>
      </c>
      <c r="F46" s="335">
        <v>15</v>
      </c>
      <c r="G46" s="335"/>
      <c r="H46" s="335" t="s">
        <v>522</v>
      </c>
      <c r="I46" s="324"/>
    </row>
    <row r="47" spans="2:9" ht="15">
      <c r="B47" s="334"/>
      <c r="C47" s="334" t="s">
        <v>523</v>
      </c>
      <c r="D47" s="177" t="s">
        <v>536</v>
      </c>
      <c r="E47" s="335">
        <v>85</v>
      </c>
      <c r="F47" s="335">
        <v>11.25</v>
      </c>
      <c r="G47" s="335"/>
      <c r="H47" s="335" t="s">
        <v>543</v>
      </c>
      <c r="I47" s="324"/>
    </row>
    <row r="48" spans="2:9" ht="15">
      <c r="B48" s="334"/>
      <c r="C48" s="334" t="s">
        <v>535</v>
      </c>
      <c r="D48" s="177" t="s">
        <v>528</v>
      </c>
      <c r="E48" s="335">
        <v>129</v>
      </c>
      <c r="F48" s="335">
        <v>15</v>
      </c>
      <c r="G48" s="335"/>
      <c r="H48" s="335" t="s">
        <v>531</v>
      </c>
      <c r="I48" s="324"/>
    </row>
    <row r="49" spans="2:9" s="374" customFormat="1" ht="15">
      <c r="B49" s="334" t="s">
        <v>59</v>
      </c>
      <c r="C49" s="334" t="s">
        <v>525</v>
      </c>
      <c r="D49" s="177"/>
      <c r="E49" s="336">
        <f>SUM(E50:E54)</f>
        <v>1927</v>
      </c>
      <c r="F49" s="335"/>
      <c r="G49" s="335"/>
      <c r="H49" s="335"/>
      <c r="I49" s="324"/>
    </row>
    <row r="50" spans="2:9" s="383" customFormat="1" ht="15">
      <c r="B50" s="334"/>
      <c r="C50" s="334" t="s">
        <v>526</v>
      </c>
      <c r="D50" s="177" t="s">
        <v>537</v>
      </c>
      <c r="E50" s="335">
        <v>86</v>
      </c>
      <c r="F50" s="335">
        <v>7.5</v>
      </c>
      <c r="G50" s="335"/>
      <c r="H50" s="335" t="s">
        <v>524</v>
      </c>
      <c r="I50" s="324"/>
    </row>
    <row r="51" spans="2:9" ht="15">
      <c r="B51" s="334"/>
      <c r="C51" s="334" t="s">
        <v>538</v>
      </c>
      <c r="D51" s="177" t="s">
        <v>532</v>
      </c>
      <c r="E51" s="335">
        <v>58</v>
      </c>
      <c r="F51" s="335">
        <v>7.5</v>
      </c>
      <c r="G51" s="335"/>
      <c r="H51" s="335" t="s">
        <v>544</v>
      </c>
      <c r="I51" s="324"/>
    </row>
    <row r="52" spans="2:9" ht="15">
      <c r="B52" s="334"/>
      <c r="C52" s="334" t="s">
        <v>529</v>
      </c>
      <c r="D52" s="399" t="s">
        <v>539</v>
      </c>
      <c r="E52" s="335">
        <v>521</v>
      </c>
      <c r="F52" s="335">
        <v>7.5</v>
      </c>
      <c r="G52" s="335"/>
      <c r="H52" s="335" t="s">
        <v>543</v>
      </c>
      <c r="I52" s="324"/>
    </row>
    <row r="53" spans="2:9" ht="15">
      <c r="B53" s="334"/>
      <c r="C53" s="334" t="s">
        <v>540</v>
      </c>
      <c r="D53" s="177" t="s">
        <v>527</v>
      </c>
      <c r="E53" s="335">
        <v>870</v>
      </c>
      <c r="F53" s="335">
        <v>5.5</v>
      </c>
      <c r="G53" s="335"/>
      <c r="H53" s="335" t="s">
        <v>545</v>
      </c>
      <c r="I53" s="336"/>
    </row>
    <row r="54" spans="2:9" ht="15">
      <c r="B54" s="334"/>
      <c r="C54" s="334" t="s">
        <v>541</v>
      </c>
      <c r="D54" s="177" t="s">
        <v>542</v>
      </c>
      <c r="E54" s="335">
        <v>392</v>
      </c>
      <c r="F54" s="335"/>
      <c r="G54" s="335"/>
      <c r="H54" s="335"/>
      <c r="I54" s="336"/>
    </row>
    <row r="55" spans="2:9" s="313" customFormat="1" ht="15">
      <c r="B55" s="400">
        <v>2</v>
      </c>
      <c r="C55" s="400" t="s">
        <v>546</v>
      </c>
      <c r="D55" s="324"/>
      <c r="E55" s="324"/>
      <c r="F55" s="324"/>
      <c r="G55" s="324"/>
      <c r="H55" s="324"/>
      <c r="I55" s="178"/>
    </row>
    <row r="56" spans="2:9" s="313" customFormat="1" ht="15">
      <c r="B56" s="334" t="s">
        <v>45</v>
      </c>
      <c r="C56" s="334" t="s">
        <v>547</v>
      </c>
      <c r="D56" s="324"/>
      <c r="E56" s="324"/>
      <c r="F56" s="324"/>
      <c r="G56" s="324"/>
      <c r="H56" s="324"/>
      <c r="I56" s="187" t="e">
        <f>chitiet!F29</f>
        <v>#REF!</v>
      </c>
    </row>
    <row r="57" spans="2:9" s="313" customFormat="1" ht="15">
      <c r="B57" s="334" t="s">
        <v>47</v>
      </c>
      <c r="C57" s="334" t="s">
        <v>309</v>
      </c>
      <c r="D57" s="324"/>
      <c r="E57" s="324"/>
      <c r="F57" s="324"/>
      <c r="G57" s="324"/>
      <c r="H57" s="324"/>
      <c r="I57" s="187">
        <f>SUM(I58:I60)</f>
        <v>36439</v>
      </c>
    </row>
    <row r="58" spans="2:9" s="313" customFormat="1" ht="15">
      <c r="B58" s="334"/>
      <c r="C58" s="334" t="s">
        <v>548</v>
      </c>
      <c r="D58" s="324"/>
      <c r="E58" s="324"/>
      <c r="F58" s="324"/>
      <c r="G58" s="324"/>
      <c r="H58" s="324"/>
      <c r="I58" s="181">
        <f>chitiet!F32</f>
        <v>10722</v>
      </c>
    </row>
    <row r="59" spans="2:9" s="313" customFormat="1" ht="15">
      <c r="B59" s="334"/>
      <c r="C59" s="334" t="s">
        <v>549</v>
      </c>
      <c r="D59" s="324"/>
      <c r="E59" s="324"/>
      <c r="F59" s="324"/>
      <c r="G59" s="324"/>
      <c r="H59" s="324"/>
      <c r="I59" s="181">
        <f>chitiet!F33</f>
        <v>7155</v>
      </c>
    </row>
    <row r="60" spans="2:9" ht="14.25">
      <c r="B60" s="334"/>
      <c r="C60" s="334" t="s">
        <v>550</v>
      </c>
      <c r="D60" s="324"/>
      <c r="E60" s="324"/>
      <c r="F60" s="324"/>
      <c r="G60" s="324"/>
      <c r="H60" s="324"/>
      <c r="I60" s="181">
        <f>chitiet!F36</f>
        <v>18562</v>
      </c>
    </row>
    <row r="61" spans="2:9" ht="14.25">
      <c r="B61" s="334">
        <v>3</v>
      </c>
      <c r="C61" s="334" t="s">
        <v>551</v>
      </c>
      <c r="D61" s="324"/>
      <c r="E61" s="324"/>
      <c r="F61" s="324"/>
      <c r="G61" s="324"/>
      <c r="H61" s="324"/>
      <c r="I61" s="181">
        <v>1</v>
      </c>
    </row>
    <row r="62" spans="2:9" ht="14.25">
      <c r="B62" s="334"/>
      <c r="C62" s="334"/>
      <c r="D62" s="324"/>
      <c r="E62" s="324"/>
      <c r="F62" s="324"/>
      <c r="G62" s="324"/>
      <c r="H62" s="324"/>
      <c r="I62" s="335"/>
    </row>
    <row r="63" spans="2:9" ht="14.25">
      <c r="B63" s="334"/>
      <c r="C63" s="334"/>
      <c r="D63" s="324"/>
      <c r="E63" s="324"/>
      <c r="F63" s="324"/>
      <c r="G63" s="324"/>
      <c r="H63" s="324"/>
      <c r="I63" s="335"/>
    </row>
    <row r="66" ht="14.25">
      <c r="D66" s="401"/>
    </row>
    <row r="69" spans="2:6" ht="14.25">
      <c r="B69" s="417"/>
      <c r="C69" s="376"/>
      <c r="D69" s="418"/>
      <c r="E69" s="418"/>
      <c r="F69" s="418"/>
    </row>
    <row r="70" spans="2:6" ht="14.25">
      <c r="B70" s="417"/>
      <c r="C70" s="376"/>
      <c r="D70" s="418"/>
      <c r="E70" s="418"/>
      <c r="F70" s="418"/>
    </row>
    <row r="71" spans="2:6" ht="14.25">
      <c r="B71" s="402"/>
      <c r="C71" s="403"/>
      <c r="D71" s="404"/>
      <c r="E71" s="405"/>
      <c r="F71" s="377"/>
    </row>
    <row r="72" spans="2:6" ht="14.25">
      <c r="B72" s="402"/>
      <c r="C72" s="403"/>
      <c r="D72" s="404"/>
      <c r="E72" s="405"/>
      <c r="F72" s="377"/>
    </row>
    <row r="73" spans="2:6" ht="14.25">
      <c r="B73" s="402"/>
      <c r="C73" s="403"/>
      <c r="D73" s="404"/>
      <c r="E73" s="405"/>
      <c r="F73" s="403"/>
    </row>
    <row r="74" spans="2:6" ht="14.25">
      <c r="B74" s="402"/>
      <c r="C74" s="403"/>
      <c r="D74" s="404"/>
      <c r="E74" s="405"/>
      <c r="F74" s="403"/>
    </row>
    <row r="75" spans="2:6" ht="14.25">
      <c r="B75" s="402"/>
      <c r="C75" s="403"/>
      <c r="D75" s="404"/>
      <c r="E75" s="405"/>
      <c r="F75" s="403"/>
    </row>
    <row r="76" ht="14.25">
      <c r="B76" s="397"/>
    </row>
    <row r="77" spans="3:4" ht="15">
      <c r="C77" s="313"/>
      <c r="D77" s="401"/>
    </row>
    <row r="79" spans="2:5" ht="15">
      <c r="B79" s="313"/>
      <c r="C79" s="313"/>
      <c r="D79" s="313"/>
      <c r="E79" s="313"/>
    </row>
    <row r="80" spans="2:5" ht="15">
      <c r="B80" s="313"/>
      <c r="C80" s="313"/>
      <c r="E80" s="313"/>
    </row>
    <row r="89" spans="2:5" ht="15">
      <c r="B89" s="313"/>
      <c r="C89" s="313"/>
      <c r="E89" s="313"/>
    </row>
    <row r="91" spans="2:3" ht="15">
      <c r="B91" s="313"/>
      <c r="C91" s="313"/>
    </row>
    <row r="93" spans="2:5" ht="15">
      <c r="B93" s="313"/>
      <c r="C93" s="313"/>
      <c r="D93" s="313"/>
      <c r="E93" s="313"/>
    </row>
    <row r="102" spans="2:5" ht="15">
      <c r="B102" s="313"/>
      <c r="C102" s="313"/>
      <c r="E102" s="313"/>
    </row>
    <row r="103" spans="2:5" ht="15">
      <c r="B103" s="313"/>
      <c r="C103" s="313"/>
      <c r="E103" s="313"/>
    </row>
    <row r="110" spans="2:5" ht="15">
      <c r="B110" s="313"/>
      <c r="C110" s="313"/>
      <c r="E110" s="313"/>
    </row>
    <row r="114" spans="4:5" ht="15">
      <c r="D114" s="313"/>
      <c r="E114" s="406"/>
    </row>
    <row r="116" ht="14.25">
      <c r="E116" s="406"/>
    </row>
    <row r="117" spans="4:5" ht="15">
      <c r="D117" s="313"/>
      <c r="E117" s="406"/>
    </row>
    <row r="120" spans="2:5" ht="15">
      <c r="B120" s="313"/>
      <c r="C120" s="313"/>
      <c r="D120" s="313"/>
      <c r="E120" s="313"/>
    </row>
    <row r="129" spans="5:6" ht="14.25">
      <c r="E129" s="314"/>
      <c r="F129" s="314"/>
    </row>
    <row r="130" spans="5:6" ht="14.25">
      <c r="E130" s="375"/>
      <c r="F130" s="375"/>
    </row>
    <row r="131" spans="5:6" ht="14.25">
      <c r="E131" s="375"/>
      <c r="F131" s="375"/>
    </row>
    <row r="132" spans="5:6" ht="14.25">
      <c r="E132" s="375"/>
      <c r="F132" s="375"/>
    </row>
    <row r="133" spans="5:6" ht="14.25">
      <c r="E133" s="375"/>
      <c r="F133" s="375"/>
    </row>
    <row r="134" spans="5:6" ht="14.25">
      <c r="E134" s="375"/>
      <c r="F134" s="375"/>
    </row>
    <row r="135" spans="5:6" ht="14.25">
      <c r="E135" s="375"/>
      <c r="F135" s="375"/>
    </row>
    <row r="136" spans="5:6" ht="14.25">
      <c r="E136" s="375"/>
      <c r="F136" s="375"/>
    </row>
    <row r="137" spans="5:6" ht="14.25">
      <c r="E137" s="375"/>
      <c r="F137" s="375"/>
    </row>
    <row r="138" spans="5:6" ht="14.25">
      <c r="E138" s="375"/>
      <c r="F138" s="375"/>
    </row>
    <row r="139" spans="5:6" ht="14.25">
      <c r="E139" s="375"/>
      <c r="F139" s="375"/>
    </row>
    <row r="140" spans="5:6" ht="15">
      <c r="E140" s="407"/>
      <c r="F140" s="407"/>
    </row>
    <row r="141" spans="5:6" ht="15">
      <c r="E141" s="407"/>
      <c r="F141" s="407"/>
    </row>
    <row r="142" spans="5:6" ht="14.25">
      <c r="E142" s="375"/>
      <c r="F142" s="375"/>
    </row>
    <row r="143" spans="5:6" ht="14.25">
      <c r="E143" s="375"/>
      <c r="F143" s="375"/>
    </row>
    <row r="144" spans="5:6" ht="14.25">
      <c r="E144" s="375"/>
      <c r="F144" s="375"/>
    </row>
    <row r="145" spans="5:6" ht="15">
      <c r="E145" s="407"/>
      <c r="F145" s="407"/>
    </row>
    <row r="146" spans="5:6" ht="15">
      <c r="E146" s="407"/>
      <c r="F146" s="407"/>
    </row>
    <row r="147" spans="5:6" ht="14.25">
      <c r="E147" s="375"/>
      <c r="F147" s="375"/>
    </row>
    <row r="148" spans="5:6" ht="14.25">
      <c r="E148" s="375"/>
      <c r="F148" s="375"/>
    </row>
    <row r="149" spans="5:6" ht="15">
      <c r="E149" s="407"/>
      <c r="F149" s="407"/>
    </row>
    <row r="150" spans="5:6" ht="15">
      <c r="E150" s="407"/>
      <c r="F150" s="407"/>
    </row>
    <row r="151" spans="5:6" ht="14.25">
      <c r="E151" s="375"/>
      <c r="F151" s="375"/>
    </row>
    <row r="152" spans="5:6" ht="14.25">
      <c r="E152" s="375"/>
      <c r="F152" s="375"/>
    </row>
    <row r="153" spans="5:6" ht="15">
      <c r="E153" s="407"/>
      <c r="F153" s="407"/>
    </row>
    <row r="154" spans="5:6" ht="15">
      <c r="E154" s="407"/>
      <c r="F154" s="407"/>
    </row>
    <row r="155" spans="5:6" ht="14.25">
      <c r="E155" s="375"/>
      <c r="F155" s="375"/>
    </row>
    <row r="156" spans="5:6" ht="15">
      <c r="E156" s="407"/>
      <c r="F156" s="407"/>
    </row>
    <row r="157" spans="5:6" ht="15">
      <c r="E157" s="407"/>
      <c r="F157" s="407"/>
    </row>
    <row r="158" spans="5:6" ht="15">
      <c r="E158" s="407"/>
      <c r="F158" s="407"/>
    </row>
    <row r="159" spans="5:6" ht="14.25">
      <c r="E159" s="375"/>
      <c r="F159" s="375"/>
    </row>
    <row r="160" spans="5:6" ht="14.25">
      <c r="E160" s="375"/>
      <c r="F160" s="375"/>
    </row>
    <row r="161" spans="5:6" ht="14.25">
      <c r="E161" s="375"/>
      <c r="F161" s="375"/>
    </row>
    <row r="162" spans="5:6" ht="14.25">
      <c r="E162" s="375"/>
      <c r="F162" s="375"/>
    </row>
    <row r="163" spans="5:6" ht="14.25">
      <c r="E163" s="375"/>
      <c r="F163" s="375"/>
    </row>
    <row r="164" spans="5:6" ht="14.25">
      <c r="E164" s="375"/>
      <c r="F164" s="375"/>
    </row>
    <row r="165" spans="5:6" ht="14.25">
      <c r="E165" s="375"/>
      <c r="F165" s="375"/>
    </row>
    <row r="166" spans="5:6" ht="14.25">
      <c r="E166" s="375"/>
      <c r="F166" s="375"/>
    </row>
    <row r="167" spans="5:6" ht="14.25">
      <c r="E167" s="375"/>
      <c r="F167" s="375"/>
    </row>
  </sheetData>
  <mergeCells count="17">
    <mergeCell ref="C2:E2"/>
    <mergeCell ref="W4:W5"/>
    <mergeCell ref="X4:X5"/>
    <mergeCell ref="W12:W14"/>
    <mergeCell ref="X12:X14"/>
    <mergeCell ref="Y12:Y14"/>
    <mergeCell ref="Z12:AA12"/>
    <mergeCell ref="Y4:Y5"/>
    <mergeCell ref="Z4:AA4"/>
    <mergeCell ref="AB4:AC4"/>
    <mergeCell ref="AD4:AD5"/>
    <mergeCell ref="AB12:AC12"/>
    <mergeCell ref="AD12:AD14"/>
    <mergeCell ref="B69:B70"/>
    <mergeCell ref="D69:D70"/>
    <mergeCell ref="E69:E70"/>
    <mergeCell ref="F69:F70"/>
  </mergeCells>
  <printOptions horizont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8"/>
  <sheetViews>
    <sheetView workbookViewId="0" topLeftCell="A1">
      <selection activeCell="E26" sqref="E26"/>
    </sheetView>
  </sheetViews>
  <sheetFormatPr defaultColWidth="9.140625" defaultRowHeight="12.75"/>
  <cols>
    <col min="1" max="1" width="9.140625" style="2" customWidth="1"/>
    <col min="2" max="2" width="7.140625" style="2" customWidth="1"/>
    <col min="3" max="3" width="30.57421875" style="2" customWidth="1"/>
    <col min="4" max="4" width="10.8515625" style="2" customWidth="1"/>
    <col min="5" max="5" width="10.7109375" style="2" customWidth="1"/>
    <col min="6" max="6" width="10.8515625" style="2" customWidth="1"/>
    <col min="7" max="16384" width="9.140625" style="2" customWidth="1"/>
  </cols>
  <sheetData>
    <row r="1" ht="14.25">
      <c r="C1" s="2" t="s">
        <v>701</v>
      </c>
    </row>
    <row r="3" spans="2:13" s="146" customFormat="1" ht="14.25">
      <c r="B3" s="17" t="s">
        <v>6</v>
      </c>
      <c r="C3" s="17" t="s">
        <v>687</v>
      </c>
      <c r="D3" s="17" t="s">
        <v>692</v>
      </c>
      <c r="E3" s="17" t="s">
        <v>693</v>
      </c>
      <c r="F3" s="17" t="s">
        <v>694</v>
      </c>
      <c r="G3" s="17" t="s">
        <v>695</v>
      </c>
      <c r="H3" s="17" t="s">
        <v>696</v>
      </c>
      <c r="I3" s="17" t="s">
        <v>697</v>
      </c>
      <c r="J3" s="17" t="s">
        <v>698</v>
      </c>
      <c r="K3" s="17"/>
      <c r="L3" s="17"/>
      <c r="M3" s="17"/>
    </row>
    <row r="4" spans="2:13" ht="14.25">
      <c r="B4" s="394">
        <v>1</v>
      </c>
      <c r="C4" s="395" t="s">
        <v>688</v>
      </c>
      <c r="D4" s="395">
        <f>(D5+D6)*2</f>
        <v>0</v>
      </c>
      <c r="E4" s="395">
        <f>(E5+E6)*2.5</f>
        <v>0</v>
      </c>
      <c r="F4" s="395">
        <f>(F5+F6)*3.5</f>
        <v>7</v>
      </c>
      <c r="G4" s="395">
        <f>(G5+G6)*4.5</f>
        <v>22.5</v>
      </c>
      <c r="H4" s="395">
        <f>(H5+H6)*5.5</f>
        <v>60.5</v>
      </c>
      <c r="I4" s="395">
        <f aca="true" t="shared" si="0" ref="I4:I16">SUM(D4:H4)</f>
        <v>90</v>
      </c>
      <c r="J4" s="412">
        <f>I4/(I5+I6)</f>
        <v>5</v>
      </c>
      <c r="K4" s="16"/>
      <c r="L4" s="16"/>
      <c r="M4" s="16"/>
    </row>
    <row r="5" spans="2:13" ht="14.25">
      <c r="B5" s="91" t="s">
        <v>57</v>
      </c>
      <c r="C5" s="16" t="s">
        <v>689</v>
      </c>
      <c r="D5" s="16">
        <v>0</v>
      </c>
      <c r="E5" s="16">
        <v>0</v>
      </c>
      <c r="F5" s="16">
        <v>0</v>
      </c>
      <c r="G5" s="16">
        <v>0</v>
      </c>
      <c r="H5" s="16">
        <v>9</v>
      </c>
      <c r="I5" s="16">
        <f t="shared" si="0"/>
        <v>9</v>
      </c>
      <c r="J5" s="411"/>
      <c r="K5" s="16"/>
      <c r="L5" s="16"/>
      <c r="M5" s="16"/>
    </row>
    <row r="6" spans="2:13" ht="14.25">
      <c r="B6" s="91" t="s">
        <v>690</v>
      </c>
      <c r="C6" s="16" t="s">
        <v>691</v>
      </c>
      <c r="D6" s="16">
        <v>0</v>
      </c>
      <c r="E6" s="16">
        <v>0</v>
      </c>
      <c r="F6" s="16">
        <v>2</v>
      </c>
      <c r="G6" s="16">
        <v>5</v>
      </c>
      <c r="H6" s="16">
        <v>2</v>
      </c>
      <c r="I6" s="16">
        <f t="shared" si="0"/>
        <v>9</v>
      </c>
      <c r="J6" s="411"/>
      <c r="K6" s="16"/>
      <c r="L6" s="16"/>
      <c r="M6" s="16"/>
    </row>
    <row r="7" spans="2:13" ht="14.25">
      <c r="B7" s="394">
        <v>2</v>
      </c>
      <c r="C7" s="396" t="s">
        <v>682</v>
      </c>
      <c r="D7" s="395">
        <f>(D8+D9)*2</f>
        <v>2</v>
      </c>
      <c r="E7" s="395">
        <f>(E8+E9)*2.5</f>
        <v>7.5</v>
      </c>
      <c r="F7" s="395">
        <f>(F8+F9)*3.5</f>
        <v>17.5</v>
      </c>
      <c r="G7" s="395">
        <f>(G8+G9)*4.5</f>
        <v>27</v>
      </c>
      <c r="H7" s="395">
        <f>(H8+H9)*5.5</f>
        <v>27.5</v>
      </c>
      <c r="I7" s="395">
        <f t="shared" si="0"/>
        <v>81.5</v>
      </c>
      <c r="J7" s="412">
        <f>I7/(I8+I9)</f>
        <v>4.075</v>
      </c>
      <c r="K7" s="16"/>
      <c r="L7" s="16"/>
      <c r="M7" s="16"/>
    </row>
    <row r="8" spans="2:13" ht="14.25">
      <c r="B8" s="91" t="s">
        <v>45</v>
      </c>
      <c r="C8" s="16" t="s">
        <v>689</v>
      </c>
      <c r="D8" s="16">
        <v>1</v>
      </c>
      <c r="E8" s="16">
        <v>3</v>
      </c>
      <c r="F8" s="16">
        <v>5</v>
      </c>
      <c r="G8" s="16">
        <v>6</v>
      </c>
      <c r="H8" s="16">
        <v>5</v>
      </c>
      <c r="I8" s="16">
        <f t="shared" si="0"/>
        <v>20</v>
      </c>
      <c r="J8" s="411"/>
      <c r="K8" s="16"/>
      <c r="L8" s="16"/>
      <c r="M8" s="16"/>
    </row>
    <row r="9" spans="2:13" ht="14.25">
      <c r="B9" s="91" t="s">
        <v>47</v>
      </c>
      <c r="C9" s="16" t="s">
        <v>691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f t="shared" si="0"/>
        <v>0</v>
      </c>
      <c r="J9" s="411"/>
      <c r="K9" s="16"/>
      <c r="L9" s="16"/>
      <c r="M9" s="16"/>
    </row>
    <row r="10" spans="2:13" ht="14.25">
      <c r="B10" s="394">
        <v>3</v>
      </c>
      <c r="C10" s="396" t="s">
        <v>683</v>
      </c>
      <c r="D10" s="395">
        <f>(D11+D12)*2</f>
        <v>10</v>
      </c>
      <c r="E10" s="395">
        <f>(E11+E12)*2.5</f>
        <v>17.5</v>
      </c>
      <c r="F10" s="395">
        <f>(F11+F12)*3.5</f>
        <v>49</v>
      </c>
      <c r="G10" s="395">
        <f>(G11+G12)*4.5</f>
        <v>58.5</v>
      </c>
      <c r="H10" s="395">
        <f>(H11+H12)*5.5</f>
        <v>104.5</v>
      </c>
      <c r="I10" s="395">
        <f t="shared" si="0"/>
        <v>239.5</v>
      </c>
      <c r="J10" s="412">
        <f>I10/(I11+I12)</f>
        <v>4.129310344827586</v>
      </c>
      <c r="K10" s="16"/>
      <c r="L10" s="16"/>
      <c r="M10" s="16"/>
    </row>
    <row r="11" spans="2:13" ht="14.25">
      <c r="B11" s="91" t="s">
        <v>81</v>
      </c>
      <c r="C11" s="16" t="s">
        <v>689</v>
      </c>
      <c r="D11" s="16">
        <v>1</v>
      </c>
      <c r="E11" s="16">
        <v>4</v>
      </c>
      <c r="F11" s="16">
        <v>10</v>
      </c>
      <c r="G11" s="16">
        <v>6</v>
      </c>
      <c r="H11" s="16">
        <v>10</v>
      </c>
      <c r="I11" s="16">
        <f t="shared" si="0"/>
        <v>31</v>
      </c>
      <c r="J11" s="411">
        <f>I10/(I11+I12)</f>
        <v>4.129310344827586</v>
      </c>
      <c r="K11" s="16"/>
      <c r="L11" s="16"/>
      <c r="M11" s="16"/>
    </row>
    <row r="12" spans="2:13" ht="14.25">
      <c r="B12" s="91" t="s">
        <v>82</v>
      </c>
      <c r="C12" s="16" t="s">
        <v>691</v>
      </c>
      <c r="D12" s="16">
        <v>4</v>
      </c>
      <c r="E12" s="16">
        <v>3</v>
      </c>
      <c r="F12" s="16">
        <v>4</v>
      </c>
      <c r="G12" s="16">
        <v>7</v>
      </c>
      <c r="H12" s="16">
        <v>9</v>
      </c>
      <c r="I12" s="16">
        <f t="shared" si="0"/>
        <v>27</v>
      </c>
      <c r="J12" s="411"/>
      <c r="K12" s="16"/>
      <c r="L12" s="16"/>
      <c r="M12" s="16"/>
    </row>
    <row r="13" spans="2:13" ht="14.25">
      <c r="B13" s="394">
        <v>4</v>
      </c>
      <c r="C13" s="396" t="s">
        <v>684</v>
      </c>
      <c r="D13" s="395">
        <f>(D14+D15)*2</f>
        <v>44</v>
      </c>
      <c r="E13" s="395">
        <f>(E14+E15)*2.5</f>
        <v>82.5</v>
      </c>
      <c r="F13" s="395">
        <f>(F14+F15)*3.5</f>
        <v>154</v>
      </c>
      <c r="G13" s="395">
        <f>(G14+G15)*4.5</f>
        <v>90</v>
      </c>
      <c r="H13" s="395">
        <f>(H14+H15)*5.5</f>
        <v>137.5</v>
      </c>
      <c r="I13" s="395">
        <f t="shared" si="0"/>
        <v>508</v>
      </c>
      <c r="J13" s="412">
        <f>I13/(I14+I15)</f>
        <v>3.5277777777777777</v>
      </c>
      <c r="K13" s="16"/>
      <c r="L13" s="16"/>
      <c r="M13" s="16"/>
    </row>
    <row r="14" spans="2:13" ht="14.25">
      <c r="B14" s="91" t="s">
        <v>699</v>
      </c>
      <c r="C14" s="16" t="s">
        <v>689</v>
      </c>
      <c r="D14" s="16">
        <v>9</v>
      </c>
      <c r="E14" s="16">
        <v>17</v>
      </c>
      <c r="F14" s="16">
        <v>26</v>
      </c>
      <c r="G14" s="16">
        <v>12</v>
      </c>
      <c r="H14" s="16">
        <v>9</v>
      </c>
      <c r="I14" s="16">
        <f t="shared" si="0"/>
        <v>73</v>
      </c>
      <c r="J14" s="411"/>
      <c r="K14" s="16"/>
      <c r="L14" s="16"/>
      <c r="M14" s="16"/>
    </row>
    <row r="15" spans="2:13" ht="14.25">
      <c r="B15" s="91" t="s">
        <v>700</v>
      </c>
      <c r="C15" s="16" t="s">
        <v>691</v>
      </c>
      <c r="D15" s="16">
        <v>13</v>
      </c>
      <c r="E15" s="16">
        <v>16</v>
      </c>
      <c r="F15" s="16">
        <v>18</v>
      </c>
      <c r="G15" s="16">
        <v>8</v>
      </c>
      <c r="H15" s="16">
        <v>16</v>
      </c>
      <c r="I15" s="16">
        <f t="shared" si="0"/>
        <v>71</v>
      </c>
      <c r="J15" s="16"/>
      <c r="K15" s="16"/>
      <c r="L15" s="16"/>
      <c r="M15" s="16"/>
    </row>
    <row r="16" spans="2:13" ht="15">
      <c r="B16" s="413"/>
      <c r="C16" s="414" t="s">
        <v>504</v>
      </c>
      <c r="D16" s="124">
        <f>D5+D6+D8+D9+D11+D12+D14+D15</f>
        <v>28</v>
      </c>
      <c r="E16" s="124">
        <f>E5+E6+E8+E9+E11+E12+E14+E15</f>
        <v>43</v>
      </c>
      <c r="F16" s="124">
        <f>F5+F6+F8+F9+F11+F12+F14+F15</f>
        <v>65</v>
      </c>
      <c r="G16" s="124">
        <f>G5+G6+G8+G9+G11+G12+G14+G15</f>
        <v>44</v>
      </c>
      <c r="H16" s="124">
        <f>H5+H6+H8+H9+H11+H12+H14+H15</f>
        <v>60</v>
      </c>
      <c r="I16" s="124">
        <f t="shared" si="0"/>
        <v>240</v>
      </c>
      <c r="J16" s="415">
        <f>I17/I16</f>
        <v>3.8291666666666666</v>
      </c>
      <c r="K16" s="16"/>
      <c r="L16" s="16"/>
      <c r="M16" s="16"/>
    </row>
    <row r="17" spans="2:13" ht="14.25">
      <c r="B17" s="91"/>
      <c r="C17" s="16"/>
      <c r="D17" s="16"/>
      <c r="E17" s="16"/>
      <c r="F17" s="16"/>
      <c r="G17" s="16"/>
      <c r="H17" s="16"/>
      <c r="I17" s="16">
        <f>I4+I7+I10+I13</f>
        <v>919</v>
      </c>
      <c r="J17" s="16"/>
      <c r="K17" s="16"/>
      <c r="L17" s="16"/>
      <c r="M17" s="16"/>
    </row>
    <row r="18" spans="2:13" ht="15">
      <c r="B18" s="91"/>
      <c r="C18" s="16"/>
      <c r="D18" s="16"/>
      <c r="E18" s="16"/>
      <c r="F18" s="16"/>
      <c r="G18" s="16"/>
      <c r="H18" s="16"/>
      <c r="I18" s="16"/>
      <c r="J18" s="416" t="s">
        <v>703</v>
      </c>
      <c r="K18" s="16"/>
      <c r="L18" s="16"/>
      <c r="M18" s="16"/>
    </row>
    <row r="19" spans="2:13" ht="14.25">
      <c r="B19" s="9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4.25">
      <c r="B20" s="9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ht="14.25">
      <c r="B21" s="9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ht="14.25">
      <c r="B22" s="9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2:13" ht="14.25">
      <c r="B23" s="9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2:13" ht="14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4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4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14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14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42"/>
  <sheetViews>
    <sheetView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9.140625" style="255" customWidth="1"/>
    <col min="2" max="2" width="6.8515625" style="252" customWidth="1"/>
    <col min="3" max="3" width="8.00390625" style="255" customWidth="1"/>
    <col min="4" max="4" width="35.00390625" style="258" customWidth="1"/>
    <col min="5" max="5" width="31.00390625" style="258" customWidth="1"/>
    <col min="6" max="6" width="10.140625" style="260" customWidth="1"/>
    <col min="7" max="7" width="9.28125" style="255" hidden="1" customWidth="1"/>
    <col min="8" max="10" width="8.8515625" style="255" customWidth="1"/>
    <col min="11" max="11" width="8.421875" style="255" customWidth="1"/>
    <col min="12" max="12" width="8.00390625" style="260" customWidth="1"/>
    <col min="13" max="13" width="7.8515625" style="255" customWidth="1"/>
    <col min="14" max="14" width="11.421875" style="255" customWidth="1"/>
    <col min="15" max="15" width="9.7109375" style="255" customWidth="1"/>
    <col min="16" max="16384" width="9.140625" style="255" customWidth="1"/>
  </cols>
  <sheetData>
    <row r="1" spans="2:14" s="260" customFormat="1" ht="20.25" customHeight="1">
      <c r="B1" s="421" t="s">
        <v>702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255"/>
      <c r="N1" s="255"/>
    </row>
    <row r="2" spans="2:14" s="260" customFormat="1" ht="15">
      <c r="B2" s="265"/>
      <c r="D2" s="258"/>
      <c r="E2" s="276">
        <f>5213-146</f>
        <v>5067</v>
      </c>
      <c r="G2" s="255"/>
      <c r="H2" s="255"/>
      <c r="I2" s="255"/>
      <c r="J2" s="255"/>
      <c r="K2" s="255"/>
      <c r="M2" s="255"/>
      <c r="N2" s="255"/>
    </row>
    <row r="3" spans="2:14" s="265" customFormat="1" ht="63.75" customHeight="1">
      <c r="B3" s="266" t="s">
        <v>6</v>
      </c>
      <c r="C3" s="277" t="s">
        <v>28</v>
      </c>
      <c r="D3" s="277" t="s">
        <v>29</v>
      </c>
      <c r="E3" s="266" t="s">
        <v>595</v>
      </c>
      <c r="F3" s="266" t="s">
        <v>376</v>
      </c>
      <c r="G3" s="254" t="s">
        <v>307</v>
      </c>
      <c r="H3" s="266" t="s">
        <v>43</v>
      </c>
      <c r="I3" s="266" t="s">
        <v>685</v>
      </c>
      <c r="J3" s="266" t="s">
        <v>686</v>
      </c>
      <c r="K3" s="266" t="s">
        <v>46</v>
      </c>
      <c r="L3" s="266" t="s">
        <v>363</v>
      </c>
      <c r="M3" s="254" t="s">
        <v>308</v>
      </c>
      <c r="N3" s="254" t="s">
        <v>362</v>
      </c>
    </row>
    <row r="4" spans="2:14" s="265" customFormat="1" ht="21" customHeight="1">
      <c r="B4" s="262">
        <v>1</v>
      </c>
      <c r="C4" s="358" t="s">
        <v>350</v>
      </c>
      <c r="D4" s="358" t="s">
        <v>574</v>
      </c>
      <c r="E4" s="282"/>
      <c r="F4" s="267">
        <v>2181</v>
      </c>
      <c r="G4" s="259"/>
      <c r="H4" s="257"/>
      <c r="I4" s="257"/>
      <c r="J4" s="256"/>
      <c r="K4" s="259"/>
      <c r="L4" s="263">
        <v>1</v>
      </c>
      <c r="M4" s="259"/>
      <c r="N4" s="259"/>
    </row>
    <row r="5" spans="2:14" s="265" customFormat="1" ht="21" customHeight="1">
      <c r="B5" s="262">
        <v>2</v>
      </c>
      <c r="C5" s="358" t="s">
        <v>351</v>
      </c>
      <c r="D5" s="358" t="s">
        <v>661</v>
      </c>
      <c r="E5" s="282"/>
      <c r="F5" s="267">
        <v>15196</v>
      </c>
      <c r="G5" s="259">
        <f>SUM(G6:G8)</f>
        <v>6892.26</v>
      </c>
      <c r="H5" s="268">
        <f>G5/F5*100</f>
        <v>45.3557515135562</v>
      </c>
      <c r="I5" s="268">
        <f>K5/G5</f>
        <v>4.254206892949482</v>
      </c>
      <c r="J5" s="270">
        <f>K5/F5</f>
        <v>1.929527507238747</v>
      </c>
      <c r="K5" s="263">
        <f>SUM(K6:K8)</f>
        <v>29321.1</v>
      </c>
      <c r="L5" s="263">
        <v>0</v>
      </c>
      <c r="M5" s="259"/>
      <c r="N5" s="259"/>
    </row>
    <row r="6" spans="2:14" s="260" customFormat="1" ht="21" customHeight="1">
      <c r="B6" s="262"/>
      <c r="C6" s="359" t="s">
        <v>662</v>
      </c>
      <c r="D6" s="359" t="s">
        <v>570</v>
      </c>
      <c r="E6" s="282" t="s">
        <v>571</v>
      </c>
      <c r="F6" s="283">
        <v>8567</v>
      </c>
      <c r="G6" s="351">
        <f>F6*H6/100</f>
        <v>2570.1</v>
      </c>
      <c r="H6" s="286">
        <v>30</v>
      </c>
      <c r="I6" s="286">
        <v>3</v>
      </c>
      <c r="J6" s="285">
        <f>K6/F6</f>
        <v>0.8999999999999999</v>
      </c>
      <c r="K6" s="284">
        <f>G6*I6</f>
        <v>7710.299999999999</v>
      </c>
      <c r="L6" s="284"/>
      <c r="M6" s="351"/>
      <c r="N6" s="351"/>
    </row>
    <row r="7" spans="2:14" s="260" customFormat="1" ht="21" customHeight="1">
      <c r="B7" s="262"/>
      <c r="C7" s="359" t="s">
        <v>663</v>
      </c>
      <c r="D7" s="359" t="s">
        <v>572</v>
      </c>
      <c r="E7" s="282" t="s">
        <v>573</v>
      </c>
      <c r="F7" s="283">
        <v>5336</v>
      </c>
      <c r="G7" s="351">
        <f>F7*H7/100</f>
        <v>4322.16</v>
      </c>
      <c r="H7" s="286">
        <v>81</v>
      </c>
      <c r="I7" s="286">
        <v>5</v>
      </c>
      <c r="J7" s="285">
        <f>K7/F7</f>
        <v>4.05</v>
      </c>
      <c r="K7" s="284">
        <f>G7*I7</f>
        <v>21610.8</v>
      </c>
      <c r="L7" s="284"/>
      <c r="M7" s="351"/>
      <c r="N7" s="351"/>
    </row>
    <row r="8" spans="2:14" s="260" customFormat="1" ht="21" customHeight="1">
      <c r="B8" s="262"/>
      <c r="C8" s="359"/>
      <c r="D8" s="359" t="s">
        <v>664</v>
      </c>
      <c r="E8" s="282"/>
      <c r="F8" s="283">
        <f>F5-F6-F7</f>
        <v>1293</v>
      </c>
      <c r="G8" s="351"/>
      <c r="H8" s="352"/>
      <c r="I8" s="352"/>
      <c r="J8" s="352"/>
      <c r="K8" s="351"/>
      <c r="L8" s="284"/>
      <c r="M8" s="351"/>
      <c r="N8" s="351"/>
    </row>
    <row r="9" spans="2:14" s="265" customFormat="1" ht="21" customHeight="1">
      <c r="B9" s="262">
        <v>3</v>
      </c>
      <c r="C9" s="358" t="s">
        <v>352</v>
      </c>
      <c r="D9" s="358" t="s">
        <v>582</v>
      </c>
      <c r="E9" s="282"/>
      <c r="F9" s="267">
        <v>4840</v>
      </c>
      <c r="G9" s="259">
        <f>SUM(G10:G12)</f>
        <v>4379.2</v>
      </c>
      <c r="H9" s="268">
        <f>G9/F9*100</f>
        <v>90.4793388429752</v>
      </c>
      <c r="I9" s="268">
        <f>K9/G9</f>
        <v>2.614176105224699</v>
      </c>
      <c r="J9" s="270">
        <f>K9/F9</f>
        <v>2.365289256198347</v>
      </c>
      <c r="K9" s="263">
        <f>SUM(K10:K11)</f>
        <v>11448</v>
      </c>
      <c r="L9" s="263">
        <f>L10+L11</f>
        <v>8448</v>
      </c>
      <c r="M9" s="259"/>
      <c r="N9" s="259"/>
    </row>
    <row r="10" spans="2:14" s="265" customFormat="1" ht="18" customHeight="1">
      <c r="B10" s="262"/>
      <c r="C10" s="359"/>
      <c r="D10" s="359" t="s">
        <v>415</v>
      </c>
      <c r="E10" s="282" t="s">
        <v>603</v>
      </c>
      <c r="F10" s="283">
        <v>1000</v>
      </c>
      <c r="G10" s="351">
        <f>F10*H10/100</f>
        <v>1000</v>
      </c>
      <c r="H10" s="286">
        <v>100</v>
      </c>
      <c r="I10" s="286">
        <v>3</v>
      </c>
      <c r="J10" s="285">
        <f>K10/F10</f>
        <v>3</v>
      </c>
      <c r="K10" s="284">
        <f>G10*I10</f>
        <v>3000</v>
      </c>
      <c r="L10" s="263"/>
      <c r="M10" s="259"/>
      <c r="N10" s="259"/>
    </row>
    <row r="11" spans="2:14" s="265" customFormat="1" ht="21" customHeight="1">
      <c r="B11" s="262"/>
      <c r="C11" s="359"/>
      <c r="D11" s="359" t="s">
        <v>320</v>
      </c>
      <c r="E11" s="282"/>
      <c r="F11" s="283">
        <f>F9-F10</f>
        <v>3840</v>
      </c>
      <c r="G11" s="351">
        <f>F11*H11/100</f>
        <v>3379.2</v>
      </c>
      <c r="H11" s="286">
        <v>88</v>
      </c>
      <c r="I11" s="286">
        <v>2.5</v>
      </c>
      <c r="J11" s="285">
        <f>K11/F11</f>
        <v>2.2</v>
      </c>
      <c r="K11" s="284">
        <f>G11*I11</f>
        <v>8448</v>
      </c>
      <c r="L11" s="284">
        <f>K11</f>
        <v>8448</v>
      </c>
      <c r="M11" s="259"/>
      <c r="N11" s="259"/>
    </row>
    <row r="12" spans="2:14" s="265" customFormat="1" ht="16.5" customHeight="1">
      <c r="B12" s="262">
        <v>4</v>
      </c>
      <c r="C12" s="358" t="s">
        <v>353</v>
      </c>
      <c r="D12" s="358" t="s">
        <v>574</v>
      </c>
      <c r="E12" s="282" t="s">
        <v>600</v>
      </c>
      <c r="F12" s="267">
        <v>1857</v>
      </c>
      <c r="G12" s="259"/>
      <c r="H12" s="257"/>
      <c r="I12" s="257"/>
      <c r="J12" s="256"/>
      <c r="K12" s="259"/>
      <c r="L12" s="263">
        <v>0</v>
      </c>
      <c r="M12" s="259"/>
      <c r="N12" s="259"/>
    </row>
    <row r="13" spans="2:14" s="265" customFormat="1" ht="16.5" customHeight="1">
      <c r="B13" s="262">
        <v>5</v>
      </c>
      <c r="C13" s="358" t="s">
        <v>354</v>
      </c>
      <c r="D13" s="358" t="s">
        <v>583</v>
      </c>
      <c r="E13" s="282" t="s">
        <v>606</v>
      </c>
      <c r="F13" s="267">
        <v>2690</v>
      </c>
      <c r="G13" s="259">
        <f>F13*H13/100</f>
        <v>2690</v>
      </c>
      <c r="H13" s="268">
        <v>100</v>
      </c>
      <c r="I13" s="268">
        <v>3</v>
      </c>
      <c r="J13" s="270">
        <f>K13/F13</f>
        <v>3</v>
      </c>
      <c r="K13" s="263">
        <f>G13*I13</f>
        <v>8070</v>
      </c>
      <c r="L13" s="263">
        <v>1</v>
      </c>
      <c r="M13" s="259"/>
      <c r="N13" s="259"/>
    </row>
    <row r="14" spans="2:14" s="265" customFormat="1" ht="16.5" customHeight="1">
      <c r="B14" s="262">
        <v>6</v>
      </c>
      <c r="C14" s="358" t="s">
        <v>355</v>
      </c>
      <c r="D14" s="358" t="s">
        <v>667</v>
      </c>
      <c r="E14" s="282"/>
      <c r="F14" s="267">
        <v>2921</v>
      </c>
      <c r="G14" s="259">
        <f>SUM(G15:G17)</f>
        <v>60</v>
      </c>
      <c r="H14" s="257">
        <f>G14/F14*100</f>
        <v>2.0540910647038686</v>
      </c>
      <c r="I14" s="257">
        <f>K14/G14</f>
        <v>3</v>
      </c>
      <c r="J14" s="256">
        <f>K14/F14</f>
        <v>0.06162273194111605</v>
      </c>
      <c r="K14" s="259">
        <f>SUM(K15:K17)</f>
        <v>180</v>
      </c>
      <c r="L14" s="263">
        <v>1</v>
      </c>
      <c r="M14" s="259"/>
      <c r="N14" s="259"/>
    </row>
    <row r="15" spans="2:14" s="260" customFormat="1" ht="22.5" customHeight="1">
      <c r="B15" s="262"/>
      <c r="C15" s="359"/>
      <c r="D15" s="359" t="s">
        <v>405</v>
      </c>
      <c r="E15" s="282" t="s">
        <v>601</v>
      </c>
      <c r="F15" s="283">
        <v>100</v>
      </c>
      <c r="G15" s="351">
        <f>F15*H15/100</f>
        <v>30</v>
      </c>
      <c r="H15" s="352">
        <v>30</v>
      </c>
      <c r="I15" s="352">
        <v>3</v>
      </c>
      <c r="J15" s="280">
        <f>K15/F15</f>
        <v>0.9</v>
      </c>
      <c r="K15" s="351">
        <f>G15*I15</f>
        <v>90</v>
      </c>
      <c r="L15" s="284"/>
      <c r="M15" s="351"/>
      <c r="N15" s="351"/>
    </row>
    <row r="16" spans="2:14" s="260" customFormat="1" ht="16.5" customHeight="1">
      <c r="B16" s="262"/>
      <c r="C16" s="359"/>
      <c r="D16" s="359" t="s">
        <v>583</v>
      </c>
      <c r="E16" s="282" t="s">
        <v>602</v>
      </c>
      <c r="F16" s="283">
        <v>100</v>
      </c>
      <c r="G16" s="351">
        <f>F16*H16/100</f>
        <v>30</v>
      </c>
      <c r="H16" s="352">
        <v>30</v>
      </c>
      <c r="I16" s="352">
        <v>3</v>
      </c>
      <c r="J16" s="280">
        <f>K16/F16</f>
        <v>0.9</v>
      </c>
      <c r="K16" s="351">
        <f>G16*I16</f>
        <v>90</v>
      </c>
      <c r="L16" s="284"/>
      <c r="M16" s="351"/>
      <c r="N16" s="351"/>
    </row>
    <row r="17" spans="2:14" s="260" customFormat="1" ht="16.5" customHeight="1">
      <c r="B17" s="262"/>
      <c r="C17" s="359"/>
      <c r="D17" s="359" t="s">
        <v>320</v>
      </c>
      <c r="E17" s="282"/>
      <c r="F17" s="283">
        <f>F14-F15-F16</f>
        <v>2721</v>
      </c>
      <c r="G17" s="351"/>
      <c r="H17" s="352"/>
      <c r="I17" s="352"/>
      <c r="J17" s="352"/>
      <c r="K17" s="351"/>
      <c r="L17" s="284"/>
      <c r="M17" s="351"/>
      <c r="N17" s="351"/>
    </row>
    <row r="18" spans="2:14" s="265" customFormat="1" ht="16.5" customHeight="1">
      <c r="B18" s="262">
        <v>7</v>
      </c>
      <c r="C18" s="358" t="s">
        <v>356</v>
      </c>
      <c r="D18" s="358" t="s">
        <v>668</v>
      </c>
      <c r="E18" s="365"/>
      <c r="F18" s="267">
        <v>8778</v>
      </c>
      <c r="G18" s="259">
        <f>SUM(G19:G21)</f>
        <v>2633.4</v>
      </c>
      <c r="H18" s="257">
        <f>G18/F18*100</f>
        <v>30</v>
      </c>
      <c r="I18" s="257">
        <f>K18/G18</f>
        <v>3</v>
      </c>
      <c r="J18" s="256">
        <f aca="true" t="shared" si="0" ref="J18:J26">K18/F18</f>
        <v>0.9000000000000001</v>
      </c>
      <c r="K18" s="259">
        <f>SUM(K19:K20)</f>
        <v>7900.200000000001</v>
      </c>
      <c r="L18" s="263">
        <v>1</v>
      </c>
      <c r="M18" s="259"/>
      <c r="N18" s="259"/>
    </row>
    <row r="19" spans="2:14" s="260" customFormat="1" ht="57" customHeight="1">
      <c r="B19" s="262"/>
      <c r="C19" s="358"/>
      <c r="D19" s="359" t="s">
        <v>609</v>
      </c>
      <c r="E19" s="282" t="s">
        <v>610</v>
      </c>
      <c r="F19" s="357">
        <v>2000</v>
      </c>
      <c r="G19" s="351">
        <f>F19*H19/100</f>
        <v>600</v>
      </c>
      <c r="H19" s="352">
        <v>30</v>
      </c>
      <c r="I19" s="352">
        <v>3</v>
      </c>
      <c r="J19" s="280">
        <f t="shared" si="0"/>
        <v>0.9</v>
      </c>
      <c r="K19" s="351">
        <f>G19*I19</f>
        <v>1800</v>
      </c>
      <c r="L19" s="284"/>
      <c r="M19" s="351"/>
      <c r="N19" s="351"/>
    </row>
    <row r="20" spans="2:14" s="265" customFormat="1" ht="15">
      <c r="B20" s="262"/>
      <c r="C20" s="358"/>
      <c r="D20" s="359" t="s">
        <v>320</v>
      </c>
      <c r="E20" s="282"/>
      <c r="F20" s="357">
        <f>F18-F19</f>
        <v>6778</v>
      </c>
      <c r="G20" s="351">
        <f>F20*H20/100</f>
        <v>2033.4</v>
      </c>
      <c r="H20" s="352">
        <v>30</v>
      </c>
      <c r="I20" s="352">
        <v>3</v>
      </c>
      <c r="J20" s="280">
        <f t="shared" si="0"/>
        <v>0.9000000000000001</v>
      </c>
      <c r="K20" s="351">
        <f>G20*I20</f>
        <v>6100.200000000001</v>
      </c>
      <c r="L20" s="263"/>
      <c r="M20" s="259"/>
      <c r="N20" s="259"/>
    </row>
    <row r="21" spans="2:14" s="265" customFormat="1" ht="15">
      <c r="B21" s="262">
        <v>8</v>
      </c>
      <c r="C21" s="358" t="s">
        <v>357</v>
      </c>
      <c r="D21" s="358" t="s">
        <v>582</v>
      </c>
      <c r="E21" s="282"/>
      <c r="F21" s="267">
        <v>7078</v>
      </c>
      <c r="G21" s="259">
        <f>SUM(G22:G24)</f>
        <v>0</v>
      </c>
      <c r="H21" s="257">
        <f>G21/F21*100</f>
        <v>0</v>
      </c>
      <c r="I21" s="257" t="e">
        <f>K21/G21</f>
        <v>#DIV/0!</v>
      </c>
      <c r="J21" s="256">
        <f t="shared" si="0"/>
        <v>0</v>
      </c>
      <c r="K21" s="259">
        <f>SUM(K22:K23)</f>
        <v>0</v>
      </c>
      <c r="L21" s="263">
        <v>1</v>
      </c>
      <c r="M21" s="259"/>
      <c r="N21" s="259"/>
    </row>
    <row r="22" spans="2:14" s="265" customFormat="1" ht="42.75">
      <c r="B22" s="262"/>
      <c r="C22" s="358"/>
      <c r="D22" s="359" t="s">
        <v>415</v>
      </c>
      <c r="E22" s="282" t="s">
        <v>604</v>
      </c>
      <c r="F22" s="267"/>
      <c r="G22" s="351">
        <f>F22*H22/100</f>
        <v>0</v>
      </c>
      <c r="H22" s="352">
        <v>30</v>
      </c>
      <c r="I22" s="352">
        <v>3</v>
      </c>
      <c r="J22" s="280" t="e">
        <f t="shared" si="0"/>
        <v>#DIV/0!</v>
      </c>
      <c r="K22" s="351">
        <f>G22*I22</f>
        <v>0</v>
      </c>
      <c r="L22" s="263"/>
      <c r="M22" s="259"/>
      <c r="N22" s="259"/>
    </row>
    <row r="23" spans="2:14" s="265" customFormat="1" ht="15">
      <c r="B23" s="262"/>
      <c r="C23" s="358"/>
      <c r="D23" s="359" t="s">
        <v>320</v>
      </c>
      <c r="E23" s="282"/>
      <c r="F23" s="267"/>
      <c r="G23" s="351">
        <f>F23*H23/100</f>
        <v>0</v>
      </c>
      <c r="H23" s="352">
        <v>30</v>
      </c>
      <c r="I23" s="352">
        <v>3</v>
      </c>
      <c r="J23" s="280" t="e">
        <f t="shared" si="0"/>
        <v>#DIV/0!</v>
      </c>
      <c r="K23" s="351">
        <f>G23*I23</f>
        <v>0</v>
      </c>
      <c r="L23" s="263"/>
      <c r="M23" s="259"/>
      <c r="N23" s="259"/>
    </row>
    <row r="24" spans="2:14" s="265" customFormat="1" ht="30">
      <c r="B24" s="262">
        <v>9</v>
      </c>
      <c r="C24" s="358" t="s">
        <v>358</v>
      </c>
      <c r="D24" s="358" t="s">
        <v>587</v>
      </c>
      <c r="E24" s="282"/>
      <c r="F24" s="267">
        <v>7707</v>
      </c>
      <c r="G24" s="259">
        <f>SUM(G25:G27)</f>
        <v>0</v>
      </c>
      <c r="H24" s="257">
        <f>G24/F24*100</f>
        <v>0</v>
      </c>
      <c r="I24" s="257" t="e">
        <f>K24/G24</f>
        <v>#DIV/0!</v>
      </c>
      <c r="J24" s="256">
        <f t="shared" si="0"/>
        <v>0</v>
      </c>
      <c r="K24" s="259">
        <f>SUM(K25:K27)</f>
        <v>0</v>
      </c>
      <c r="L24" s="263">
        <v>1</v>
      </c>
      <c r="M24" s="259"/>
      <c r="N24" s="259"/>
    </row>
    <row r="25" spans="2:14" s="265" customFormat="1" ht="15">
      <c r="B25" s="262"/>
      <c r="C25" s="359"/>
      <c r="D25" s="359" t="s">
        <v>605</v>
      </c>
      <c r="E25" s="282"/>
      <c r="F25" s="267"/>
      <c r="G25" s="351">
        <f>F25*H25/100</f>
        <v>0</v>
      </c>
      <c r="H25" s="352">
        <v>30</v>
      </c>
      <c r="I25" s="352">
        <v>3</v>
      </c>
      <c r="J25" s="280" t="e">
        <f t="shared" si="0"/>
        <v>#DIV/0!</v>
      </c>
      <c r="K25" s="351">
        <f>G25*I25</f>
        <v>0</v>
      </c>
      <c r="L25" s="263"/>
      <c r="M25" s="259"/>
      <c r="N25" s="259"/>
    </row>
    <row r="26" spans="2:14" s="265" customFormat="1" ht="15">
      <c r="B26" s="262"/>
      <c r="C26" s="359"/>
      <c r="D26" s="359" t="s">
        <v>320</v>
      </c>
      <c r="E26" s="282"/>
      <c r="F26" s="267"/>
      <c r="G26" s="351">
        <f>F26*H26/100</f>
        <v>0</v>
      </c>
      <c r="H26" s="352">
        <v>30</v>
      </c>
      <c r="I26" s="352">
        <v>3</v>
      </c>
      <c r="J26" s="280" t="e">
        <f t="shared" si="0"/>
        <v>#DIV/0!</v>
      </c>
      <c r="K26" s="351">
        <f>G26*I26</f>
        <v>0</v>
      </c>
      <c r="L26" s="263"/>
      <c r="M26" s="259"/>
      <c r="N26" s="259"/>
    </row>
    <row r="27" spans="2:14" s="265" customFormat="1" ht="15">
      <c r="B27" s="262"/>
      <c r="C27" s="359"/>
      <c r="D27" s="359" t="s">
        <v>596</v>
      </c>
      <c r="E27" s="282" t="s">
        <v>614</v>
      </c>
      <c r="F27" s="267"/>
      <c r="G27" s="351"/>
      <c r="H27" s="352"/>
      <c r="I27" s="352"/>
      <c r="J27" s="352"/>
      <c r="K27" s="351"/>
      <c r="L27" s="263"/>
      <c r="M27" s="259"/>
      <c r="N27" s="259"/>
    </row>
    <row r="28" spans="2:14" s="265" customFormat="1" ht="21" customHeight="1">
      <c r="B28" s="262">
        <v>10</v>
      </c>
      <c r="C28" s="358" t="s">
        <v>327</v>
      </c>
      <c r="D28" s="358" t="s">
        <v>584</v>
      </c>
      <c r="E28" s="282"/>
      <c r="F28" s="267">
        <v>2527</v>
      </c>
      <c r="G28" s="259">
        <f>SUM(G29:G31)</f>
        <v>0</v>
      </c>
      <c r="H28" s="257">
        <f>G28/F28*100</f>
        <v>0</v>
      </c>
      <c r="I28" s="257" t="e">
        <f>K28/G28</f>
        <v>#DIV/0!</v>
      </c>
      <c r="J28" s="256">
        <f aca="true" t="shared" si="1" ref="J28:J36">K28/F28</f>
        <v>0</v>
      </c>
      <c r="K28" s="259">
        <f>SUM(K29:K30)</f>
        <v>0</v>
      </c>
      <c r="L28" s="263">
        <v>1</v>
      </c>
      <c r="M28" s="259"/>
      <c r="N28" s="259"/>
    </row>
    <row r="29" spans="2:14" s="265" customFormat="1" ht="18.75" customHeight="1">
      <c r="B29" s="262"/>
      <c r="C29" s="359"/>
      <c r="D29" s="359" t="s">
        <v>607</v>
      </c>
      <c r="E29" s="282" t="s">
        <v>608</v>
      </c>
      <c r="F29" s="267"/>
      <c r="G29" s="351">
        <f>F29*H29/100</f>
        <v>0</v>
      </c>
      <c r="H29" s="352">
        <v>30</v>
      </c>
      <c r="I29" s="352">
        <v>3</v>
      </c>
      <c r="J29" s="280" t="e">
        <f t="shared" si="1"/>
        <v>#DIV/0!</v>
      </c>
      <c r="K29" s="351">
        <f>G29*I29</f>
        <v>0</v>
      </c>
      <c r="L29" s="263"/>
      <c r="M29" s="259"/>
      <c r="N29" s="259"/>
    </row>
    <row r="30" spans="2:14" s="265" customFormat="1" ht="15">
      <c r="B30" s="262"/>
      <c r="C30" s="359"/>
      <c r="D30" s="359" t="s">
        <v>320</v>
      </c>
      <c r="E30" s="282"/>
      <c r="F30" s="267"/>
      <c r="G30" s="351">
        <f>F30*H30/100</f>
        <v>0</v>
      </c>
      <c r="H30" s="352">
        <v>30</v>
      </c>
      <c r="I30" s="352">
        <v>3</v>
      </c>
      <c r="J30" s="280" t="e">
        <f t="shared" si="1"/>
        <v>#DIV/0!</v>
      </c>
      <c r="K30" s="351">
        <f>G30*I30</f>
        <v>0</v>
      </c>
      <c r="L30" s="263"/>
      <c r="M30" s="259"/>
      <c r="N30" s="259"/>
    </row>
    <row r="31" spans="2:14" s="265" customFormat="1" ht="15">
      <c r="B31" s="262">
        <v>11</v>
      </c>
      <c r="C31" s="358" t="s">
        <v>328</v>
      </c>
      <c r="D31" s="358" t="s">
        <v>590</v>
      </c>
      <c r="E31" s="282"/>
      <c r="F31" s="267">
        <v>8616</v>
      </c>
      <c r="G31" s="259">
        <f>SUM(G32:G34)</f>
        <v>0</v>
      </c>
      <c r="H31" s="257">
        <f>G31/F31*100</f>
        <v>0</v>
      </c>
      <c r="I31" s="257" t="e">
        <f>K31/G31</f>
        <v>#DIV/0!</v>
      </c>
      <c r="J31" s="256">
        <f t="shared" si="1"/>
        <v>0</v>
      </c>
      <c r="K31" s="259">
        <f>SUM(K32:K33)</f>
        <v>0</v>
      </c>
      <c r="L31" s="263">
        <v>1</v>
      </c>
      <c r="M31" s="259"/>
      <c r="N31" s="259"/>
    </row>
    <row r="32" spans="2:14" s="265" customFormat="1" ht="15">
      <c r="B32" s="262"/>
      <c r="C32" s="359"/>
      <c r="D32" s="359" t="s">
        <v>605</v>
      </c>
      <c r="E32" s="282" t="s">
        <v>615</v>
      </c>
      <c r="F32" s="267"/>
      <c r="G32" s="351">
        <f>F32*H32/100</f>
        <v>0</v>
      </c>
      <c r="H32" s="352">
        <v>30</v>
      </c>
      <c r="I32" s="352">
        <v>3</v>
      </c>
      <c r="J32" s="280" t="e">
        <f t="shared" si="1"/>
        <v>#DIV/0!</v>
      </c>
      <c r="K32" s="351">
        <f>G32*I32</f>
        <v>0</v>
      </c>
      <c r="L32" s="263"/>
      <c r="M32" s="259"/>
      <c r="N32" s="259"/>
    </row>
    <row r="33" spans="2:14" s="265" customFormat="1" ht="15">
      <c r="B33" s="262"/>
      <c r="C33" s="359"/>
      <c r="D33" s="359" t="s">
        <v>320</v>
      </c>
      <c r="E33" s="282"/>
      <c r="F33" s="267"/>
      <c r="G33" s="351">
        <f>F33*H33/100</f>
        <v>0</v>
      </c>
      <c r="H33" s="352">
        <v>30</v>
      </c>
      <c r="I33" s="352">
        <v>3</v>
      </c>
      <c r="J33" s="280" t="e">
        <f t="shared" si="1"/>
        <v>#DIV/0!</v>
      </c>
      <c r="K33" s="351">
        <f>G33*I33</f>
        <v>0</v>
      </c>
      <c r="L33" s="263"/>
      <c r="M33" s="259"/>
      <c r="N33" s="259"/>
    </row>
    <row r="34" spans="2:14" s="265" customFormat="1" ht="30">
      <c r="B34" s="262">
        <v>12</v>
      </c>
      <c r="C34" s="358" t="s">
        <v>329</v>
      </c>
      <c r="D34" s="358" t="s">
        <v>586</v>
      </c>
      <c r="E34" s="282"/>
      <c r="F34" s="267">
        <v>5109</v>
      </c>
      <c r="G34" s="259">
        <f>SUM(G35:G37)</f>
        <v>0</v>
      </c>
      <c r="H34" s="257">
        <f>G34/F34*100</f>
        <v>0</v>
      </c>
      <c r="I34" s="257" t="e">
        <f>K34/G34</f>
        <v>#DIV/0!</v>
      </c>
      <c r="J34" s="256">
        <f t="shared" si="1"/>
        <v>0</v>
      </c>
      <c r="K34" s="259">
        <f>SUM(K35:K37)</f>
        <v>0</v>
      </c>
      <c r="L34" s="263">
        <v>1</v>
      </c>
      <c r="M34" s="259"/>
      <c r="N34" s="259"/>
    </row>
    <row r="35" spans="2:14" s="265" customFormat="1" ht="15">
      <c r="B35" s="262"/>
      <c r="C35" s="358"/>
      <c r="D35" s="359" t="s">
        <v>611</v>
      </c>
      <c r="E35" s="282" t="s">
        <v>612</v>
      </c>
      <c r="F35" s="267"/>
      <c r="G35" s="351">
        <f>F35*H35/100</f>
        <v>0</v>
      </c>
      <c r="H35" s="352">
        <v>30</v>
      </c>
      <c r="I35" s="352">
        <v>3</v>
      </c>
      <c r="J35" s="280" t="e">
        <f t="shared" si="1"/>
        <v>#DIV/0!</v>
      </c>
      <c r="K35" s="351">
        <f>G35*I35</f>
        <v>0</v>
      </c>
      <c r="L35" s="263"/>
      <c r="M35" s="259"/>
      <c r="N35" s="259"/>
    </row>
    <row r="36" spans="2:14" s="265" customFormat="1" ht="15">
      <c r="B36" s="262"/>
      <c r="C36" s="359"/>
      <c r="D36" s="359" t="s">
        <v>598</v>
      </c>
      <c r="E36" s="282"/>
      <c r="F36" s="267"/>
      <c r="G36" s="351">
        <f>F36*H36/100</f>
        <v>0</v>
      </c>
      <c r="H36" s="352">
        <v>30</v>
      </c>
      <c r="I36" s="352">
        <v>3</v>
      </c>
      <c r="J36" s="280" t="e">
        <f t="shared" si="1"/>
        <v>#DIV/0!</v>
      </c>
      <c r="K36" s="351">
        <f>G36*I36</f>
        <v>0</v>
      </c>
      <c r="L36" s="263"/>
      <c r="M36" s="259"/>
      <c r="N36" s="259"/>
    </row>
    <row r="37" spans="2:14" s="265" customFormat="1" ht="15">
      <c r="B37" s="262"/>
      <c r="C37" s="358"/>
      <c r="D37" s="359" t="s">
        <v>320</v>
      </c>
      <c r="E37" s="282"/>
      <c r="F37" s="267"/>
      <c r="G37" s="351"/>
      <c r="H37" s="352"/>
      <c r="I37" s="352"/>
      <c r="J37" s="352"/>
      <c r="K37" s="351"/>
      <c r="L37" s="263"/>
      <c r="M37" s="259"/>
      <c r="N37" s="259"/>
    </row>
    <row r="38" spans="2:14" s="265" customFormat="1" ht="30">
      <c r="B38" s="262">
        <v>13</v>
      </c>
      <c r="C38" s="358" t="s">
        <v>330</v>
      </c>
      <c r="D38" s="358" t="s">
        <v>643</v>
      </c>
      <c r="E38" s="282"/>
      <c r="F38" s="267">
        <v>12513</v>
      </c>
      <c r="G38" s="259">
        <f>SUM(G39:G41)</f>
        <v>0</v>
      </c>
      <c r="H38" s="257">
        <f>G38/F38*100</f>
        <v>0</v>
      </c>
      <c r="I38" s="257" t="e">
        <f>K38/G38</f>
        <v>#DIV/0!</v>
      </c>
      <c r="J38" s="256">
        <f>K38/F38</f>
        <v>0</v>
      </c>
      <c r="K38" s="259">
        <f>SUM(K39:K40)</f>
        <v>0</v>
      </c>
      <c r="L38" s="263">
        <v>1</v>
      </c>
      <c r="M38" s="259"/>
      <c r="N38" s="259"/>
    </row>
    <row r="39" spans="2:14" s="265" customFormat="1" ht="15">
      <c r="B39" s="262"/>
      <c r="C39" s="359"/>
      <c r="D39" s="359" t="s">
        <v>644</v>
      </c>
      <c r="E39" s="282" t="s">
        <v>592</v>
      </c>
      <c r="F39" s="267"/>
      <c r="G39" s="351">
        <f>F39*H39/100</f>
        <v>0</v>
      </c>
      <c r="H39" s="352">
        <v>30</v>
      </c>
      <c r="I39" s="352">
        <v>3</v>
      </c>
      <c r="J39" s="280" t="e">
        <f>K39/F39</f>
        <v>#DIV/0!</v>
      </c>
      <c r="K39" s="351">
        <f>G39*I39</f>
        <v>0</v>
      </c>
      <c r="L39" s="263"/>
      <c r="M39" s="259"/>
      <c r="N39" s="259"/>
    </row>
    <row r="40" spans="2:14" s="265" customFormat="1" ht="14.25" customHeight="1">
      <c r="B40" s="262"/>
      <c r="C40" s="359"/>
      <c r="D40" s="359" t="s">
        <v>670</v>
      </c>
      <c r="E40" s="282" t="s">
        <v>591</v>
      </c>
      <c r="F40" s="267"/>
      <c r="G40" s="351">
        <f>F40*H40/100</f>
        <v>0</v>
      </c>
      <c r="H40" s="352">
        <v>30</v>
      </c>
      <c r="I40" s="352">
        <v>3</v>
      </c>
      <c r="J40" s="280" t="e">
        <f>K40/F40</f>
        <v>#DIV/0!</v>
      </c>
      <c r="K40" s="351">
        <f>G40*I40</f>
        <v>0</v>
      </c>
      <c r="L40" s="263"/>
      <c r="M40" s="259"/>
      <c r="N40" s="259"/>
    </row>
    <row r="41" spans="2:14" s="265" customFormat="1" ht="21" customHeight="1">
      <c r="B41" s="262">
        <v>14</v>
      </c>
      <c r="C41" s="358" t="s">
        <v>331</v>
      </c>
      <c r="D41" s="358" t="s">
        <v>588</v>
      </c>
      <c r="E41" s="281" t="s">
        <v>589</v>
      </c>
      <c r="F41" s="267">
        <v>16375</v>
      </c>
      <c r="G41" s="259"/>
      <c r="H41" s="257"/>
      <c r="I41" s="257"/>
      <c r="J41" s="257"/>
      <c r="K41" s="259"/>
      <c r="L41" s="263">
        <v>1</v>
      </c>
      <c r="M41" s="259"/>
      <c r="N41" s="259"/>
    </row>
    <row r="42" spans="2:14" s="265" customFormat="1" ht="21.75" customHeight="1">
      <c r="B42" s="262">
        <v>15</v>
      </c>
      <c r="C42" s="363" t="s">
        <v>332</v>
      </c>
      <c r="D42" s="358" t="s">
        <v>593</v>
      </c>
      <c r="E42" s="282" t="s">
        <v>623</v>
      </c>
      <c r="F42" s="267">
        <v>9475</v>
      </c>
      <c r="G42" s="259"/>
      <c r="H42" s="257"/>
      <c r="I42" s="257"/>
      <c r="J42" s="257"/>
      <c r="K42" s="259"/>
      <c r="L42" s="263">
        <v>1</v>
      </c>
      <c r="M42" s="259"/>
      <c r="N42" s="259"/>
    </row>
    <row r="43" spans="2:14" s="265" customFormat="1" ht="15.75" customHeight="1">
      <c r="B43" s="262">
        <v>16</v>
      </c>
      <c r="C43" s="358" t="s">
        <v>333</v>
      </c>
      <c r="D43" s="358" t="s">
        <v>669</v>
      </c>
      <c r="E43" s="282"/>
      <c r="F43" s="267">
        <v>9542</v>
      </c>
      <c r="G43" s="259">
        <f>SUM(G44:G46)</f>
        <v>0</v>
      </c>
      <c r="H43" s="257">
        <f>G43/F43*100</f>
        <v>0</v>
      </c>
      <c r="I43" s="257" t="e">
        <f>K43/G43</f>
        <v>#DIV/0!</v>
      </c>
      <c r="J43" s="256">
        <f>K43/F43</f>
        <v>0</v>
      </c>
      <c r="K43" s="259">
        <f>SUM(K44:K46)</f>
        <v>0</v>
      </c>
      <c r="L43" s="263">
        <v>1</v>
      </c>
      <c r="M43" s="259"/>
      <c r="N43" s="259"/>
    </row>
    <row r="44" spans="2:14" s="260" customFormat="1" ht="15.75" customHeight="1">
      <c r="B44" s="262"/>
      <c r="C44" s="364"/>
      <c r="D44" s="359" t="s">
        <v>598</v>
      </c>
      <c r="E44" s="282" t="s">
        <v>620</v>
      </c>
      <c r="F44" s="283"/>
      <c r="G44" s="351">
        <f>F44*H44/100</f>
        <v>0</v>
      </c>
      <c r="H44" s="352">
        <v>30</v>
      </c>
      <c r="I44" s="352">
        <v>3</v>
      </c>
      <c r="J44" s="280" t="e">
        <f>K44/F44</f>
        <v>#DIV/0!</v>
      </c>
      <c r="K44" s="351">
        <f>G44*I44</f>
        <v>0</v>
      </c>
      <c r="L44" s="284"/>
      <c r="M44" s="351"/>
      <c r="N44" s="351"/>
    </row>
    <row r="45" spans="2:14" s="260" customFormat="1" ht="15">
      <c r="B45" s="262"/>
      <c r="C45" s="364"/>
      <c r="D45" s="359" t="s">
        <v>617</v>
      </c>
      <c r="E45" s="282" t="s">
        <v>618</v>
      </c>
      <c r="F45" s="283"/>
      <c r="G45" s="351">
        <f>F45*H45/100</f>
        <v>0</v>
      </c>
      <c r="H45" s="352">
        <v>30</v>
      </c>
      <c r="I45" s="352">
        <v>3</v>
      </c>
      <c r="J45" s="280" t="e">
        <f>K45/F45</f>
        <v>#DIV/0!</v>
      </c>
      <c r="K45" s="351">
        <f>G45*I45</f>
        <v>0</v>
      </c>
      <c r="L45" s="284"/>
      <c r="M45" s="351"/>
      <c r="N45" s="351"/>
    </row>
    <row r="46" spans="2:14" s="260" customFormat="1" ht="15">
      <c r="B46" s="262"/>
      <c r="C46" s="364"/>
      <c r="D46" s="359" t="s">
        <v>619</v>
      </c>
      <c r="E46" s="282"/>
      <c r="F46" s="283"/>
      <c r="G46" s="351"/>
      <c r="H46" s="352"/>
      <c r="I46" s="352"/>
      <c r="J46" s="352"/>
      <c r="K46" s="351"/>
      <c r="L46" s="284"/>
      <c r="M46" s="351"/>
      <c r="N46" s="351"/>
    </row>
    <row r="47" spans="2:14" s="260" customFormat="1" ht="15">
      <c r="B47" s="262">
        <v>17</v>
      </c>
      <c r="C47" s="358" t="s">
        <v>334</v>
      </c>
      <c r="D47" s="358" t="s">
        <v>582</v>
      </c>
      <c r="E47" s="282"/>
      <c r="F47" s="267">
        <v>6425</v>
      </c>
      <c r="G47" s="259">
        <f>SUM(G48:G50)</f>
        <v>0</v>
      </c>
      <c r="H47" s="257">
        <f>G47/F47*100</f>
        <v>0</v>
      </c>
      <c r="I47" s="257" t="e">
        <f>K47/G47</f>
        <v>#DIV/0!</v>
      </c>
      <c r="J47" s="256">
        <f>K47/F47</f>
        <v>0</v>
      </c>
      <c r="K47" s="259">
        <f>SUM(K48:K49)</f>
        <v>0</v>
      </c>
      <c r="L47" s="284">
        <v>1</v>
      </c>
      <c r="M47" s="351"/>
      <c r="N47" s="351"/>
    </row>
    <row r="48" spans="2:14" s="260" customFormat="1" ht="28.5">
      <c r="B48" s="262"/>
      <c r="C48" s="358"/>
      <c r="D48" s="359" t="s">
        <v>598</v>
      </c>
      <c r="E48" s="282" t="s">
        <v>599</v>
      </c>
      <c r="F48" s="283"/>
      <c r="G48" s="351">
        <f>F48*H48/100</f>
        <v>0</v>
      </c>
      <c r="H48" s="352">
        <v>30</v>
      </c>
      <c r="I48" s="352">
        <v>3</v>
      </c>
      <c r="J48" s="280" t="e">
        <f>K48/F48</f>
        <v>#DIV/0!</v>
      </c>
      <c r="K48" s="351">
        <f>G48*I48</f>
        <v>0</v>
      </c>
      <c r="L48" s="284"/>
      <c r="M48" s="351"/>
      <c r="N48" s="351"/>
    </row>
    <row r="49" spans="2:14" s="260" customFormat="1" ht="15">
      <c r="B49" s="262"/>
      <c r="C49" s="358"/>
      <c r="D49" s="359" t="s">
        <v>320</v>
      </c>
      <c r="E49" s="282"/>
      <c r="F49" s="283"/>
      <c r="G49" s="351">
        <f>F49*H49/100</f>
        <v>0</v>
      </c>
      <c r="H49" s="352">
        <v>30</v>
      </c>
      <c r="I49" s="352">
        <v>3</v>
      </c>
      <c r="J49" s="280" t="e">
        <f>K49/F49</f>
        <v>#DIV/0!</v>
      </c>
      <c r="K49" s="351">
        <f>G49*I49</f>
        <v>0</v>
      </c>
      <c r="L49" s="284"/>
      <c r="M49" s="351"/>
      <c r="N49" s="351"/>
    </row>
    <row r="50" spans="2:14" s="260" customFormat="1" ht="15">
      <c r="B50" s="262">
        <v>18</v>
      </c>
      <c r="C50" s="363" t="s">
        <v>335</v>
      </c>
      <c r="D50" s="358" t="s">
        <v>616</v>
      </c>
      <c r="E50" s="281"/>
      <c r="F50" s="267">
        <v>687</v>
      </c>
      <c r="G50" s="351"/>
      <c r="H50" s="352"/>
      <c r="I50" s="352"/>
      <c r="J50" s="352"/>
      <c r="K50" s="351"/>
      <c r="L50" s="284">
        <v>1</v>
      </c>
      <c r="M50" s="351"/>
      <c r="N50" s="351"/>
    </row>
    <row r="51" spans="2:14" s="260" customFormat="1" ht="15">
      <c r="B51" s="262">
        <v>19</v>
      </c>
      <c r="C51" s="358" t="s">
        <v>336</v>
      </c>
      <c r="D51" s="358" t="s">
        <v>320</v>
      </c>
      <c r="E51" s="266"/>
      <c r="F51" s="267">
        <v>6015</v>
      </c>
      <c r="G51" s="351"/>
      <c r="H51" s="352"/>
      <c r="I51" s="352"/>
      <c r="J51" s="352"/>
      <c r="K51" s="351"/>
      <c r="L51" s="284">
        <v>1</v>
      </c>
      <c r="M51" s="351"/>
      <c r="N51" s="351"/>
    </row>
    <row r="52" spans="2:14" s="260" customFormat="1" ht="26.25" customHeight="1">
      <c r="B52" s="262">
        <v>20</v>
      </c>
      <c r="C52" s="358" t="s">
        <v>337</v>
      </c>
      <c r="D52" s="358" t="s">
        <v>585</v>
      </c>
      <c r="E52" s="282"/>
      <c r="F52" s="267">
        <v>11659</v>
      </c>
      <c r="G52" s="259">
        <f>SUM(G53:G55)</f>
        <v>0</v>
      </c>
      <c r="H52" s="257">
        <f>G52/F52*100</f>
        <v>0</v>
      </c>
      <c r="I52" s="257" t="e">
        <f>K52/G52</f>
        <v>#DIV/0!</v>
      </c>
      <c r="J52" s="256">
        <f aca="true" t="shared" si="2" ref="J52:J57">K52/F52</f>
        <v>0</v>
      </c>
      <c r="K52" s="259">
        <f>SUM(K53:K54)</f>
        <v>0</v>
      </c>
      <c r="L52" s="284">
        <v>1</v>
      </c>
      <c r="M52" s="351"/>
      <c r="N52" s="351"/>
    </row>
    <row r="53" spans="2:14" s="265" customFormat="1" ht="51" customHeight="1">
      <c r="B53" s="262"/>
      <c r="C53" s="358"/>
      <c r="D53" s="359" t="s">
        <v>621</v>
      </c>
      <c r="E53" s="282" t="s">
        <v>622</v>
      </c>
      <c r="F53" s="267"/>
      <c r="G53" s="351">
        <f>F53*H53/100</f>
        <v>0</v>
      </c>
      <c r="H53" s="352">
        <v>30</v>
      </c>
      <c r="I53" s="352">
        <v>3</v>
      </c>
      <c r="J53" s="280" t="e">
        <f t="shared" si="2"/>
        <v>#DIV/0!</v>
      </c>
      <c r="K53" s="351">
        <f>G53*I53</f>
        <v>0</v>
      </c>
      <c r="L53" s="263"/>
      <c r="M53" s="259"/>
      <c r="N53" s="259"/>
    </row>
    <row r="54" spans="2:14" s="265" customFormat="1" ht="17.25" customHeight="1">
      <c r="B54" s="262"/>
      <c r="C54" s="358"/>
      <c r="D54" s="359" t="s">
        <v>320</v>
      </c>
      <c r="E54" s="282"/>
      <c r="F54" s="267"/>
      <c r="G54" s="351">
        <f>F54*H54/100</f>
        <v>0</v>
      </c>
      <c r="H54" s="352">
        <v>30</v>
      </c>
      <c r="I54" s="352">
        <v>3</v>
      </c>
      <c r="J54" s="280" t="e">
        <f t="shared" si="2"/>
        <v>#DIV/0!</v>
      </c>
      <c r="K54" s="351">
        <f>G54*I54</f>
        <v>0</v>
      </c>
      <c r="L54" s="263"/>
      <c r="M54" s="259"/>
      <c r="N54" s="259"/>
    </row>
    <row r="55" spans="2:14" s="265" customFormat="1" ht="17.25" customHeight="1">
      <c r="B55" s="262">
        <v>21</v>
      </c>
      <c r="C55" s="358" t="s">
        <v>338</v>
      </c>
      <c r="D55" s="358" t="s">
        <v>635</v>
      </c>
      <c r="E55" s="282"/>
      <c r="F55" s="267">
        <v>9233</v>
      </c>
      <c r="G55" s="259">
        <f>SUM(G56:G58)</f>
        <v>0</v>
      </c>
      <c r="H55" s="257">
        <f>G55/F55*100</f>
        <v>0</v>
      </c>
      <c r="I55" s="257" t="e">
        <f>K55/G55</f>
        <v>#DIV/0!</v>
      </c>
      <c r="J55" s="256">
        <f t="shared" si="2"/>
        <v>0</v>
      </c>
      <c r="K55" s="259">
        <f>SUM(K56:K58)</f>
        <v>0</v>
      </c>
      <c r="L55" s="263">
        <v>1</v>
      </c>
      <c r="M55" s="259"/>
      <c r="N55" s="259"/>
    </row>
    <row r="56" spans="2:14" s="265" customFormat="1" ht="17.25" customHeight="1">
      <c r="B56" s="262"/>
      <c r="C56" s="358"/>
      <c r="D56" s="359" t="s">
        <v>596</v>
      </c>
      <c r="E56" s="282" t="s">
        <v>597</v>
      </c>
      <c r="F56" s="267"/>
      <c r="G56" s="351">
        <f>F56*H56/100</f>
        <v>0</v>
      </c>
      <c r="H56" s="352">
        <v>30</v>
      </c>
      <c r="I56" s="352">
        <v>3</v>
      </c>
      <c r="J56" s="280" t="e">
        <f t="shared" si="2"/>
        <v>#DIV/0!</v>
      </c>
      <c r="K56" s="351">
        <f>G56*I56</f>
        <v>0</v>
      </c>
      <c r="L56" s="263"/>
      <c r="M56" s="259"/>
      <c r="N56" s="259"/>
    </row>
    <row r="57" spans="2:14" s="265" customFormat="1" ht="17.25" customHeight="1">
      <c r="B57" s="262"/>
      <c r="C57" s="358"/>
      <c r="D57" s="359" t="s">
        <v>598</v>
      </c>
      <c r="E57" s="282" t="s">
        <v>625</v>
      </c>
      <c r="F57" s="267"/>
      <c r="G57" s="351">
        <f>F57*H57/100</f>
        <v>0</v>
      </c>
      <c r="H57" s="352">
        <v>30</v>
      </c>
      <c r="I57" s="352">
        <v>3</v>
      </c>
      <c r="J57" s="280" t="e">
        <f t="shared" si="2"/>
        <v>#DIV/0!</v>
      </c>
      <c r="K57" s="351">
        <f>G57*I57</f>
        <v>0</v>
      </c>
      <c r="L57" s="263"/>
      <c r="M57" s="259"/>
      <c r="N57" s="259"/>
    </row>
    <row r="58" spans="2:14" s="265" customFormat="1" ht="15">
      <c r="B58" s="262"/>
      <c r="C58" s="358"/>
      <c r="D58" s="359" t="s">
        <v>320</v>
      </c>
      <c r="E58" s="282"/>
      <c r="F58" s="267"/>
      <c r="G58" s="351"/>
      <c r="H58" s="352"/>
      <c r="I58" s="352"/>
      <c r="J58" s="352"/>
      <c r="K58" s="351"/>
      <c r="L58" s="263"/>
      <c r="M58" s="259"/>
      <c r="N58" s="259"/>
    </row>
    <row r="59" spans="2:14" s="265" customFormat="1" ht="16.5" customHeight="1">
      <c r="B59" s="262">
        <v>22</v>
      </c>
      <c r="C59" s="358" t="s">
        <v>339</v>
      </c>
      <c r="D59" s="358" t="s">
        <v>593</v>
      </c>
      <c r="E59" s="282" t="s">
        <v>594</v>
      </c>
      <c r="F59" s="267">
        <v>9845</v>
      </c>
      <c r="G59" s="259">
        <f>F59*H59/100</f>
        <v>2953.5</v>
      </c>
      <c r="H59" s="257">
        <v>30</v>
      </c>
      <c r="I59" s="257">
        <v>3</v>
      </c>
      <c r="J59" s="256">
        <f aca="true" t="shared" si="3" ref="J59:J65">K59/F59</f>
        <v>0.9</v>
      </c>
      <c r="K59" s="259">
        <f>G59*I59</f>
        <v>8860.5</v>
      </c>
      <c r="L59" s="263">
        <v>1</v>
      </c>
      <c r="M59" s="259"/>
      <c r="N59" s="259"/>
    </row>
    <row r="60" spans="2:14" s="265" customFormat="1" ht="15">
      <c r="B60" s="262">
        <v>23</v>
      </c>
      <c r="C60" s="358" t="s">
        <v>340</v>
      </c>
      <c r="D60" s="358" t="s">
        <v>320</v>
      </c>
      <c r="E60" s="266"/>
      <c r="F60" s="267">
        <v>2377</v>
      </c>
      <c r="G60" s="259">
        <f>F60*H60/100</f>
        <v>713.1</v>
      </c>
      <c r="H60" s="257">
        <v>30</v>
      </c>
      <c r="I60" s="257">
        <v>3</v>
      </c>
      <c r="J60" s="256">
        <f t="shared" si="3"/>
        <v>0.9</v>
      </c>
      <c r="K60" s="259">
        <f>G60*I60</f>
        <v>2139.3</v>
      </c>
      <c r="L60" s="263">
        <v>1</v>
      </c>
      <c r="M60" s="259"/>
      <c r="N60" s="259"/>
    </row>
    <row r="61" spans="2:14" s="265" customFormat="1" ht="15">
      <c r="B61" s="262">
        <v>24</v>
      </c>
      <c r="C61" s="358" t="s">
        <v>341</v>
      </c>
      <c r="D61" s="358" t="s">
        <v>582</v>
      </c>
      <c r="E61" s="282" t="s">
        <v>624</v>
      </c>
      <c r="F61" s="267">
        <v>17041</v>
      </c>
      <c r="G61" s="259">
        <f>G62+G65+G66</f>
        <v>5220</v>
      </c>
      <c r="H61" s="257">
        <v>30</v>
      </c>
      <c r="I61" s="257">
        <v>3</v>
      </c>
      <c r="J61" s="256">
        <f t="shared" si="3"/>
        <v>0.45948007746024294</v>
      </c>
      <c r="K61" s="259">
        <f>K62+K65+K66</f>
        <v>7830</v>
      </c>
      <c r="L61" s="263">
        <v>1</v>
      </c>
      <c r="M61" s="259"/>
      <c r="N61" s="259"/>
    </row>
    <row r="62" spans="2:14" s="260" customFormat="1" ht="15">
      <c r="B62" s="262"/>
      <c r="C62" s="359" t="s">
        <v>626</v>
      </c>
      <c r="D62" s="359" t="s">
        <v>582</v>
      </c>
      <c r="E62" s="282"/>
      <c r="F62" s="283">
        <v>7611</v>
      </c>
      <c r="G62" s="259">
        <f>SUM(G63:G65)</f>
        <v>2610</v>
      </c>
      <c r="H62" s="257">
        <f>G62/F62*100</f>
        <v>34.29247142294048</v>
      </c>
      <c r="I62" s="257">
        <f>K62/G62</f>
        <v>0</v>
      </c>
      <c r="J62" s="256">
        <f t="shared" si="3"/>
        <v>0</v>
      </c>
      <c r="K62" s="259">
        <f>SUM(K63:K64)</f>
        <v>0</v>
      </c>
      <c r="L62" s="284"/>
      <c r="M62" s="351"/>
      <c r="N62" s="351"/>
    </row>
    <row r="63" spans="2:14" s="260" customFormat="1" ht="28.5">
      <c r="B63" s="262"/>
      <c r="C63" s="359"/>
      <c r="D63" s="359" t="s">
        <v>598</v>
      </c>
      <c r="E63" s="282" t="s">
        <v>599</v>
      </c>
      <c r="F63" s="283"/>
      <c r="G63" s="351">
        <f>F63*H63/100</f>
        <v>0</v>
      </c>
      <c r="H63" s="352">
        <v>30</v>
      </c>
      <c r="I63" s="352">
        <v>3</v>
      </c>
      <c r="J63" s="280" t="e">
        <f t="shared" si="3"/>
        <v>#DIV/0!</v>
      </c>
      <c r="K63" s="351">
        <f>G63*I63</f>
        <v>0</v>
      </c>
      <c r="L63" s="284"/>
      <c r="M63" s="351"/>
      <c r="N63" s="351"/>
    </row>
    <row r="64" spans="2:14" s="260" customFormat="1" ht="15">
      <c r="B64" s="262"/>
      <c r="C64" s="359"/>
      <c r="D64" s="359" t="s">
        <v>320</v>
      </c>
      <c r="E64" s="282"/>
      <c r="F64" s="283"/>
      <c r="G64" s="351">
        <f>F64*H64/100</f>
        <v>0</v>
      </c>
      <c r="H64" s="352">
        <v>30</v>
      </c>
      <c r="I64" s="352">
        <v>3</v>
      </c>
      <c r="J64" s="280" t="e">
        <f t="shared" si="3"/>
        <v>#DIV/0!</v>
      </c>
      <c r="K64" s="351">
        <f>G64*I64</f>
        <v>0</v>
      </c>
      <c r="L64" s="284"/>
      <c r="M64" s="351"/>
      <c r="N64" s="351"/>
    </row>
    <row r="65" spans="2:14" s="260" customFormat="1" ht="15">
      <c r="B65" s="262"/>
      <c r="C65" s="359" t="s">
        <v>627</v>
      </c>
      <c r="D65" s="359" t="s">
        <v>320</v>
      </c>
      <c r="E65" s="282"/>
      <c r="F65" s="283">
        <v>8700</v>
      </c>
      <c r="G65" s="351">
        <f>F65*H65/100</f>
        <v>2610</v>
      </c>
      <c r="H65" s="352">
        <v>30</v>
      </c>
      <c r="I65" s="352">
        <v>3</v>
      </c>
      <c r="J65" s="280">
        <f t="shared" si="3"/>
        <v>0.9</v>
      </c>
      <c r="K65" s="351">
        <f>G65*I65</f>
        <v>7830</v>
      </c>
      <c r="L65" s="284"/>
      <c r="M65" s="351"/>
      <c r="N65" s="351"/>
    </row>
    <row r="66" spans="2:14" s="260" customFormat="1" ht="18" customHeight="1">
      <c r="B66" s="262"/>
      <c r="C66" s="359"/>
      <c r="D66" s="359" t="s">
        <v>628</v>
      </c>
      <c r="E66" s="282" t="s">
        <v>630</v>
      </c>
      <c r="F66" s="283">
        <f>F61-F62-F65</f>
        <v>730</v>
      </c>
      <c r="G66" s="259"/>
      <c r="H66" s="257"/>
      <c r="I66" s="257"/>
      <c r="J66" s="257"/>
      <c r="K66" s="259"/>
      <c r="L66" s="284"/>
      <c r="M66" s="351"/>
      <c r="N66" s="351"/>
    </row>
    <row r="67" spans="2:14" s="265" customFormat="1" ht="18" customHeight="1">
      <c r="B67" s="262">
        <v>25</v>
      </c>
      <c r="C67" s="358" t="s">
        <v>342</v>
      </c>
      <c r="D67" s="358" t="s">
        <v>637</v>
      </c>
      <c r="E67" s="266"/>
      <c r="F67" s="267">
        <v>1213</v>
      </c>
      <c r="G67" s="259">
        <f>SUM(G68:G70)</f>
        <v>2238.3</v>
      </c>
      <c r="H67" s="257">
        <f>G67/F67*100</f>
        <v>184.52596867271228</v>
      </c>
      <c r="I67" s="257">
        <f>K67/G67</f>
        <v>0</v>
      </c>
      <c r="J67" s="256">
        <f aca="true" t="shared" si="4" ref="J67:J72">K67/F67</f>
        <v>0</v>
      </c>
      <c r="K67" s="259">
        <f>SUM(K68:K69)</f>
        <v>0</v>
      </c>
      <c r="L67" s="263">
        <v>1</v>
      </c>
      <c r="M67" s="259"/>
      <c r="N67" s="259"/>
    </row>
    <row r="68" spans="2:14" s="265" customFormat="1" ht="18" customHeight="1">
      <c r="B68" s="262"/>
      <c r="C68" s="359"/>
      <c r="D68" s="359" t="s">
        <v>638</v>
      </c>
      <c r="E68" s="355"/>
      <c r="F68" s="267"/>
      <c r="G68" s="351">
        <f>F68*H68/100</f>
        <v>0</v>
      </c>
      <c r="H68" s="352">
        <v>30</v>
      </c>
      <c r="I68" s="352">
        <v>3</v>
      </c>
      <c r="J68" s="280" t="e">
        <f t="shared" si="4"/>
        <v>#DIV/0!</v>
      </c>
      <c r="K68" s="351">
        <f>G68*I68</f>
        <v>0</v>
      </c>
      <c r="L68" s="263"/>
      <c r="M68" s="259"/>
      <c r="N68" s="259"/>
    </row>
    <row r="69" spans="2:14" s="265" customFormat="1" ht="18" customHeight="1">
      <c r="B69" s="262"/>
      <c r="C69" s="359"/>
      <c r="D69" s="359" t="s">
        <v>320</v>
      </c>
      <c r="E69" s="355"/>
      <c r="F69" s="267"/>
      <c r="G69" s="351">
        <f>F69*H69/100</f>
        <v>0</v>
      </c>
      <c r="H69" s="352">
        <v>30</v>
      </c>
      <c r="I69" s="352">
        <v>3</v>
      </c>
      <c r="J69" s="280" t="e">
        <f t="shared" si="4"/>
        <v>#DIV/0!</v>
      </c>
      <c r="K69" s="351">
        <f>G69*I69</f>
        <v>0</v>
      </c>
      <c r="L69" s="263"/>
      <c r="M69" s="259"/>
      <c r="N69" s="259"/>
    </row>
    <row r="70" spans="2:14" s="265" customFormat="1" ht="18" customHeight="1">
      <c r="B70" s="262">
        <v>26</v>
      </c>
      <c r="C70" s="358" t="s">
        <v>343</v>
      </c>
      <c r="D70" s="358" t="s">
        <v>320</v>
      </c>
      <c r="E70" s="282"/>
      <c r="F70" s="267">
        <v>8168</v>
      </c>
      <c r="G70" s="259">
        <f>SUM(G71:G73)</f>
        <v>2238.3</v>
      </c>
      <c r="H70" s="257">
        <f>G70/F70*100</f>
        <v>27.40328109696376</v>
      </c>
      <c r="I70" s="257">
        <f>K70/G70</f>
        <v>2.9999999999999996</v>
      </c>
      <c r="J70" s="256">
        <f t="shared" si="4"/>
        <v>0.8220984329089128</v>
      </c>
      <c r="K70" s="259">
        <f>SUM(K71:K72)</f>
        <v>6714.9</v>
      </c>
      <c r="L70" s="263">
        <v>1</v>
      </c>
      <c r="M70" s="259"/>
      <c r="N70" s="259"/>
    </row>
    <row r="71" spans="2:14" s="265" customFormat="1" ht="18" customHeight="1">
      <c r="B71" s="262"/>
      <c r="C71" s="359" t="s">
        <v>631</v>
      </c>
      <c r="D71" s="359" t="s">
        <v>320</v>
      </c>
      <c r="E71" s="282"/>
      <c r="F71" s="283">
        <v>3093</v>
      </c>
      <c r="G71" s="351">
        <f>F71*H71/100</f>
        <v>927.9</v>
      </c>
      <c r="H71" s="352">
        <v>30</v>
      </c>
      <c r="I71" s="352">
        <v>3</v>
      </c>
      <c r="J71" s="280">
        <f t="shared" si="4"/>
        <v>0.8999999999999999</v>
      </c>
      <c r="K71" s="351">
        <f>G71*I71</f>
        <v>2783.7</v>
      </c>
      <c r="L71" s="263"/>
      <c r="M71" s="259"/>
      <c r="N71" s="259"/>
    </row>
    <row r="72" spans="2:14" s="265" customFormat="1" ht="18" customHeight="1">
      <c r="B72" s="262"/>
      <c r="C72" s="359" t="s">
        <v>633</v>
      </c>
      <c r="D72" s="359" t="s">
        <v>320</v>
      </c>
      <c r="E72" s="282"/>
      <c r="F72" s="283">
        <v>4368</v>
      </c>
      <c r="G72" s="351">
        <f>F72*H72/100</f>
        <v>1310.4</v>
      </c>
      <c r="H72" s="352">
        <v>30</v>
      </c>
      <c r="I72" s="352">
        <v>3</v>
      </c>
      <c r="J72" s="280">
        <f t="shared" si="4"/>
        <v>0.9</v>
      </c>
      <c r="K72" s="351">
        <f>G72*I72</f>
        <v>3931.2000000000003</v>
      </c>
      <c r="L72" s="263"/>
      <c r="M72" s="259"/>
      <c r="N72" s="259"/>
    </row>
    <row r="73" spans="2:14" s="265" customFormat="1" ht="15">
      <c r="B73" s="262"/>
      <c r="C73" s="359"/>
      <c r="D73" s="359" t="s">
        <v>628</v>
      </c>
      <c r="E73" s="282" t="s">
        <v>629</v>
      </c>
      <c r="F73" s="283">
        <f>F70-F71-F72</f>
        <v>707</v>
      </c>
      <c r="G73" s="259"/>
      <c r="H73" s="257"/>
      <c r="I73" s="257"/>
      <c r="J73" s="257"/>
      <c r="K73" s="259"/>
      <c r="L73" s="263"/>
      <c r="M73" s="259"/>
      <c r="N73" s="259"/>
    </row>
    <row r="74" spans="2:14" s="265" customFormat="1" ht="15">
      <c r="B74" s="262">
        <v>27</v>
      </c>
      <c r="C74" s="358" t="s">
        <v>344</v>
      </c>
      <c r="D74" s="358" t="s">
        <v>645</v>
      </c>
      <c r="E74" s="282"/>
      <c r="F74" s="267">
        <v>5074</v>
      </c>
      <c r="G74" s="259">
        <f>SUM(G75:G77)</f>
        <v>618.9</v>
      </c>
      <c r="H74" s="257">
        <f>G74/F74*100</f>
        <v>12.197477335435554</v>
      </c>
      <c r="I74" s="257">
        <f>K74/G74</f>
        <v>0</v>
      </c>
      <c r="J74" s="256">
        <f aca="true" t="shared" si="5" ref="J74:J83">K74/F74</f>
        <v>0</v>
      </c>
      <c r="K74" s="259">
        <f>SUM(K75:K76)</f>
        <v>0</v>
      </c>
      <c r="L74" s="263">
        <v>1</v>
      </c>
      <c r="M74" s="259"/>
      <c r="N74" s="259"/>
    </row>
    <row r="75" spans="2:14" s="265" customFormat="1" ht="15">
      <c r="B75" s="262"/>
      <c r="C75" s="359"/>
      <c r="D75" s="359" t="s">
        <v>646</v>
      </c>
      <c r="E75" s="282"/>
      <c r="F75" s="267"/>
      <c r="G75" s="351">
        <f>F75*H75/100</f>
        <v>0</v>
      </c>
      <c r="H75" s="352">
        <v>30</v>
      </c>
      <c r="I75" s="352">
        <v>3</v>
      </c>
      <c r="J75" s="280" t="e">
        <f t="shared" si="5"/>
        <v>#DIV/0!</v>
      </c>
      <c r="K75" s="351">
        <f>G75*I75</f>
        <v>0</v>
      </c>
      <c r="L75" s="263"/>
      <c r="M75" s="259"/>
      <c r="N75" s="259"/>
    </row>
    <row r="76" spans="2:14" s="265" customFormat="1" ht="15">
      <c r="B76" s="262"/>
      <c r="C76" s="359"/>
      <c r="D76" s="359" t="s">
        <v>320</v>
      </c>
      <c r="E76" s="282"/>
      <c r="F76" s="267"/>
      <c r="G76" s="351">
        <f>F76*H76/100</f>
        <v>0</v>
      </c>
      <c r="H76" s="352">
        <v>30</v>
      </c>
      <c r="I76" s="352">
        <v>3</v>
      </c>
      <c r="J76" s="280" t="e">
        <f t="shared" si="5"/>
        <v>#DIV/0!</v>
      </c>
      <c r="K76" s="351">
        <f>G76*I76</f>
        <v>0</v>
      </c>
      <c r="L76" s="263"/>
      <c r="M76" s="259"/>
      <c r="N76" s="259"/>
    </row>
    <row r="77" spans="2:14" s="265" customFormat="1" ht="15">
      <c r="B77" s="262">
        <v>28</v>
      </c>
      <c r="C77" s="358" t="s">
        <v>345</v>
      </c>
      <c r="D77" s="358" t="s">
        <v>320</v>
      </c>
      <c r="E77" s="282"/>
      <c r="F77" s="267">
        <v>2063</v>
      </c>
      <c r="G77" s="259">
        <f>F77*H77/100</f>
        <v>618.9</v>
      </c>
      <c r="H77" s="257">
        <v>30</v>
      </c>
      <c r="I77" s="257">
        <v>3</v>
      </c>
      <c r="J77" s="256">
        <f t="shared" si="5"/>
        <v>0.8999999999999999</v>
      </c>
      <c r="K77" s="259">
        <f>G77*I77</f>
        <v>1856.6999999999998</v>
      </c>
      <c r="L77" s="263">
        <v>1</v>
      </c>
      <c r="M77" s="259"/>
      <c r="N77" s="259"/>
    </row>
    <row r="78" spans="2:14" s="265" customFormat="1" ht="15">
      <c r="B78" s="262">
        <v>29</v>
      </c>
      <c r="C78" s="358" t="s">
        <v>346</v>
      </c>
      <c r="D78" s="358" t="s">
        <v>320</v>
      </c>
      <c r="E78" s="282"/>
      <c r="F78" s="267">
        <v>4620</v>
      </c>
      <c r="G78" s="259">
        <f>F78*H78/100</f>
        <v>1386</v>
      </c>
      <c r="H78" s="257">
        <v>30</v>
      </c>
      <c r="I78" s="257">
        <v>3</v>
      </c>
      <c r="J78" s="256">
        <f t="shared" si="5"/>
        <v>0.9</v>
      </c>
      <c r="K78" s="259">
        <f>G78*I78</f>
        <v>4158</v>
      </c>
      <c r="L78" s="263">
        <v>1</v>
      </c>
      <c r="M78" s="259"/>
      <c r="N78" s="259"/>
    </row>
    <row r="79" spans="2:14" s="265" customFormat="1" ht="15">
      <c r="B79" s="262">
        <v>30</v>
      </c>
      <c r="C79" s="358" t="s">
        <v>347</v>
      </c>
      <c r="D79" s="358" t="s">
        <v>636</v>
      </c>
      <c r="E79" s="282"/>
      <c r="F79" s="267">
        <v>6730</v>
      </c>
      <c r="G79" s="259">
        <f>G80+G83+G84</f>
        <v>948.6</v>
      </c>
      <c r="H79" s="257">
        <v>30</v>
      </c>
      <c r="I79" s="257">
        <v>3</v>
      </c>
      <c r="J79" s="256">
        <f t="shared" si="5"/>
        <v>0.21142644873699853</v>
      </c>
      <c r="K79" s="259">
        <f>K80+K83+K84</f>
        <v>1422.9</v>
      </c>
      <c r="L79" s="263">
        <v>1</v>
      </c>
      <c r="M79" s="259"/>
      <c r="N79" s="259"/>
    </row>
    <row r="80" spans="2:14" s="260" customFormat="1" ht="15">
      <c r="B80" s="262"/>
      <c r="C80" s="359" t="s">
        <v>652</v>
      </c>
      <c r="D80" s="359" t="s">
        <v>590</v>
      </c>
      <c r="E80" s="282"/>
      <c r="F80" s="283">
        <v>4867</v>
      </c>
      <c r="G80" s="259">
        <f>SUM(G81:G83)</f>
        <v>474.3</v>
      </c>
      <c r="H80" s="257">
        <f>G80/F80*100</f>
        <v>9.745222929936306</v>
      </c>
      <c r="I80" s="257">
        <f>K80/G80</f>
        <v>0</v>
      </c>
      <c r="J80" s="256">
        <f t="shared" si="5"/>
        <v>0</v>
      </c>
      <c r="K80" s="259">
        <f>SUM(K81:K82)</f>
        <v>0</v>
      </c>
      <c r="L80" s="284"/>
      <c r="M80" s="351"/>
      <c r="N80" s="351"/>
    </row>
    <row r="81" spans="2:14" s="260" customFormat="1" ht="15">
      <c r="B81" s="262"/>
      <c r="C81" s="359"/>
      <c r="D81" s="359" t="s">
        <v>598</v>
      </c>
      <c r="E81" s="282" t="s">
        <v>632</v>
      </c>
      <c r="F81" s="283"/>
      <c r="G81" s="351">
        <f>F81*H81/100</f>
        <v>0</v>
      </c>
      <c r="H81" s="352">
        <v>30</v>
      </c>
      <c r="I81" s="352">
        <v>3</v>
      </c>
      <c r="J81" s="280" t="e">
        <f t="shared" si="5"/>
        <v>#DIV/0!</v>
      </c>
      <c r="K81" s="351">
        <f>G81*I81</f>
        <v>0</v>
      </c>
      <c r="L81" s="284"/>
      <c r="M81" s="351"/>
      <c r="N81" s="351"/>
    </row>
    <row r="82" spans="2:14" s="265" customFormat="1" ht="15">
      <c r="B82" s="262"/>
      <c r="C82" s="358"/>
      <c r="D82" s="359" t="s">
        <v>320</v>
      </c>
      <c r="E82" s="282"/>
      <c r="F82" s="267"/>
      <c r="G82" s="351">
        <f>F82*H82/100</f>
        <v>0</v>
      </c>
      <c r="H82" s="352">
        <v>30</v>
      </c>
      <c r="I82" s="352">
        <v>3</v>
      </c>
      <c r="J82" s="280" t="e">
        <f t="shared" si="5"/>
        <v>#DIV/0!</v>
      </c>
      <c r="K82" s="351">
        <f>G82*I82</f>
        <v>0</v>
      </c>
      <c r="L82" s="263"/>
      <c r="M82" s="259"/>
      <c r="N82" s="259"/>
    </row>
    <row r="83" spans="2:14" s="265" customFormat="1" ht="15">
      <c r="B83" s="262"/>
      <c r="C83" s="359" t="s">
        <v>653</v>
      </c>
      <c r="D83" s="359" t="s">
        <v>320</v>
      </c>
      <c r="E83" s="282"/>
      <c r="F83" s="283">
        <v>1581</v>
      </c>
      <c r="G83" s="351">
        <f>F83*H83/100</f>
        <v>474.3</v>
      </c>
      <c r="H83" s="352">
        <v>30</v>
      </c>
      <c r="I83" s="352">
        <v>3</v>
      </c>
      <c r="J83" s="280">
        <f t="shared" si="5"/>
        <v>0.9</v>
      </c>
      <c r="K83" s="351">
        <f>G83*I83</f>
        <v>1422.9</v>
      </c>
      <c r="L83" s="263"/>
      <c r="M83" s="259"/>
      <c r="N83" s="259"/>
    </row>
    <row r="84" spans="2:14" s="265" customFormat="1" ht="15">
      <c r="B84" s="262"/>
      <c r="C84" s="358"/>
      <c r="D84" s="359" t="s">
        <v>628</v>
      </c>
      <c r="E84" s="282" t="s">
        <v>634</v>
      </c>
      <c r="F84" s="283">
        <f>F79-F80-F83</f>
        <v>282</v>
      </c>
      <c r="G84" s="259"/>
      <c r="H84" s="257"/>
      <c r="I84" s="257"/>
      <c r="J84" s="257"/>
      <c r="K84" s="259"/>
      <c r="L84" s="263"/>
      <c r="M84" s="259"/>
      <c r="N84" s="259"/>
    </row>
    <row r="85" spans="2:14" s="265" customFormat="1" ht="15">
      <c r="B85" s="262">
        <v>31</v>
      </c>
      <c r="C85" s="358" t="s">
        <v>348</v>
      </c>
      <c r="D85" s="358" t="s">
        <v>671</v>
      </c>
      <c r="E85" s="282"/>
      <c r="F85" s="267">
        <v>10722</v>
      </c>
      <c r="G85" s="259">
        <f>SUM(G86:G88)</f>
        <v>0</v>
      </c>
      <c r="H85" s="257">
        <f>G85/F85*100</f>
        <v>0</v>
      </c>
      <c r="I85" s="257" t="e">
        <f>K85/G85</f>
        <v>#DIV/0!</v>
      </c>
      <c r="J85" s="256">
        <f aca="true" t="shared" si="6" ref="J85:J90">K85/F85</f>
        <v>0</v>
      </c>
      <c r="K85" s="259">
        <f>SUM(K86:K87)</f>
        <v>0</v>
      </c>
      <c r="L85" s="263">
        <v>1</v>
      </c>
      <c r="M85" s="259"/>
      <c r="N85" s="259"/>
    </row>
    <row r="86" spans="2:14" s="265" customFormat="1" ht="15">
      <c r="B86" s="262"/>
      <c r="C86" s="359"/>
      <c r="D86" s="359" t="s">
        <v>672</v>
      </c>
      <c r="E86" s="282" t="s">
        <v>647</v>
      </c>
      <c r="F86" s="267"/>
      <c r="G86" s="351">
        <f>F86*H86/100</f>
        <v>0</v>
      </c>
      <c r="H86" s="352">
        <v>30</v>
      </c>
      <c r="I86" s="352">
        <v>3</v>
      </c>
      <c r="J86" s="280" t="e">
        <f t="shared" si="6"/>
        <v>#DIV/0!</v>
      </c>
      <c r="K86" s="351">
        <f>G86*I86</f>
        <v>0</v>
      </c>
      <c r="L86" s="263"/>
      <c r="M86" s="259"/>
      <c r="N86" s="259"/>
    </row>
    <row r="87" spans="2:14" s="265" customFormat="1" ht="15">
      <c r="B87" s="262"/>
      <c r="C87" s="359"/>
      <c r="D87" s="359" t="s">
        <v>613</v>
      </c>
      <c r="E87" s="282"/>
      <c r="F87" s="267"/>
      <c r="G87" s="351">
        <f>F87*H87/100</f>
        <v>0</v>
      </c>
      <c r="H87" s="352">
        <v>30</v>
      </c>
      <c r="I87" s="352">
        <v>3</v>
      </c>
      <c r="J87" s="280" t="e">
        <f t="shared" si="6"/>
        <v>#DIV/0!</v>
      </c>
      <c r="K87" s="351">
        <f>G87*I87</f>
        <v>0</v>
      </c>
      <c r="L87" s="263"/>
      <c r="M87" s="259"/>
      <c r="N87" s="259"/>
    </row>
    <row r="88" spans="2:14" s="265" customFormat="1" ht="15">
      <c r="B88" s="262">
        <v>32</v>
      </c>
      <c r="C88" s="358" t="s">
        <v>377</v>
      </c>
      <c r="D88" s="358" t="s">
        <v>636</v>
      </c>
      <c r="E88" s="282"/>
      <c r="F88" s="267">
        <v>7155</v>
      </c>
      <c r="G88" s="259">
        <f>SUM(G89:G91)</f>
        <v>0</v>
      </c>
      <c r="H88" s="257">
        <f>G88/F88*100</f>
        <v>0</v>
      </c>
      <c r="I88" s="257" t="e">
        <f>K88/G88</f>
        <v>#DIV/0!</v>
      </c>
      <c r="J88" s="256">
        <f t="shared" si="6"/>
        <v>0</v>
      </c>
      <c r="K88" s="259">
        <f>SUM(K89:K90)</f>
        <v>0</v>
      </c>
      <c r="L88" s="263">
        <v>1</v>
      </c>
      <c r="M88" s="259"/>
      <c r="N88" s="259"/>
    </row>
    <row r="89" spans="2:14" s="260" customFormat="1" ht="15">
      <c r="B89" s="262"/>
      <c r="C89" s="359"/>
      <c r="D89" s="359" t="s">
        <v>598</v>
      </c>
      <c r="E89" s="282"/>
      <c r="F89" s="283"/>
      <c r="G89" s="351">
        <f>F89*H89/100</f>
        <v>0</v>
      </c>
      <c r="H89" s="352">
        <v>30</v>
      </c>
      <c r="I89" s="352">
        <v>3</v>
      </c>
      <c r="J89" s="280" t="e">
        <f t="shared" si="6"/>
        <v>#DIV/0!</v>
      </c>
      <c r="K89" s="351">
        <f>G89*I89</f>
        <v>0</v>
      </c>
      <c r="L89" s="284"/>
      <c r="M89" s="351"/>
      <c r="N89" s="351"/>
    </row>
    <row r="90" spans="2:14" s="260" customFormat="1" ht="15">
      <c r="B90" s="262"/>
      <c r="C90" s="359"/>
      <c r="D90" s="359" t="s">
        <v>320</v>
      </c>
      <c r="E90" s="282"/>
      <c r="F90" s="283"/>
      <c r="G90" s="351">
        <f>F90*H90/100</f>
        <v>0</v>
      </c>
      <c r="H90" s="352">
        <v>30</v>
      </c>
      <c r="I90" s="352">
        <v>3</v>
      </c>
      <c r="J90" s="280" t="e">
        <f t="shared" si="6"/>
        <v>#DIV/0!</v>
      </c>
      <c r="K90" s="351">
        <f>G90*I90</f>
        <v>0</v>
      </c>
      <c r="L90" s="284"/>
      <c r="M90" s="351"/>
      <c r="N90" s="351"/>
    </row>
    <row r="91" spans="2:14" s="260" customFormat="1" ht="15">
      <c r="B91" s="262">
        <v>33</v>
      </c>
      <c r="C91" s="358" t="s">
        <v>575</v>
      </c>
      <c r="D91" s="358" t="s">
        <v>616</v>
      </c>
      <c r="E91" s="353" t="s">
        <v>650</v>
      </c>
      <c r="F91" s="267">
        <v>14179</v>
      </c>
      <c r="G91" s="351"/>
      <c r="H91" s="352"/>
      <c r="I91" s="352"/>
      <c r="J91" s="352"/>
      <c r="K91" s="351"/>
      <c r="L91" s="284">
        <v>1</v>
      </c>
      <c r="M91" s="351"/>
      <c r="N91" s="351"/>
    </row>
    <row r="92" spans="2:14" s="252" customFormat="1" ht="30">
      <c r="B92" s="262">
        <v>34</v>
      </c>
      <c r="C92" s="358" t="s">
        <v>577</v>
      </c>
      <c r="D92" s="358" t="s">
        <v>639</v>
      </c>
      <c r="E92" s="282"/>
      <c r="F92" s="267">
        <v>13660</v>
      </c>
      <c r="G92" s="259">
        <f>SUM(G93:G95)</f>
        <v>0</v>
      </c>
      <c r="H92" s="257">
        <f>G92/F92*100</f>
        <v>0</v>
      </c>
      <c r="I92" s="257" t="e">
        <f>K92/G92</f>
        <v>#DIV/0!</v>
      </c>
      <c r="J92" s="256">
        <f>K92/F92</f>
        <v>0</v>
      </c>
      <c r="K92" s="259">
        <f>SUM(K93:K94)</f>
        <v>0</v>
      </c>
      <c r="L92" s="263">
        <v>1</v>
      </c>
      <c r="M92" s="259"/>
      <c r="N92" s="259"/>
    </row>
    <row r="93" spans="2:14" ht="15">
      <c r="B93" s="262"/>
      <c r="C93" s="359"/>
      <c r="D93" s="359" t="s">
        <v>640</v>
      </c>
      <c r="E93" s="282"/>
      <c r="F93" s="283"/>
      <c r="G93" s="351">
        <f>F93*H93/100</f>
        <v>0</v>
      </c>
      <c r="H93" s="352">
        <v>30</v>
      </c>
      <c r="I93" s="352">
        <v>3</v>
      </c>
      <c r="J93" s="280" t="e">
        <f>K93/F93</f>
        <v>#DIV/0!</v>
      </c>
      <c r="K93" s="351">
        <f>G93*I93</f>
        <v>0</v>
      </c>
      <c r="L93" s="284"/>
      <c r="M93" s="351"/>
      <c r="N93" s="351"/>
    </row>
    <row r="94" spans="2:14" ht="15">
      <c r="B94" s="262"/>
      <c r="C94" s="359"/>
      <c r="D94" s="359" t="s">
        <v>641</v>
      </c>
      <c r="E94" s="282" t="s">
        <v>642</v>
      </c>
      <c r="F94" s="283"/>
      <c r="G94" s="351">
        <f>F94*H94/100</f>
        <v>0</v>
      </c>
      <c r="H94" s="352">
        <v>30</v>
      </c>
      <c r="I94" s="352">
        <v>3</v>
      </c>
      <c r="J94" s="280" t="e">
        <f>K94/F94</f>
        <v>#DIV/0!</v>
      </c>
      <c r="K94" s="351">
        <f>G94*I94</f>
        <v>0</v>
      </c>
      <c r="L94" s="284"/>
      <c r="M94" s="351"/>
      <c r="N94" s="351"/>
    </row>
    <row r="95" spans="2:14" ht="15">
      <c r="B95" s="262"/>
      <c r="C95" s="359"/>
      <c r="D95" s="359" t="s">
        <v>320</v>
      </c>
      <c r="E95" s="282"/>
      <c r="F95" s="283"/>
      <c r="G95" s="351"/>
      <c r="H95" s="352"/>
      <c r="I95" s="352"/>
      <c r="J95" s="352"/>
      <c r="K95" s="351"/>
      <c r="L95" s="284"/>
      <c r="M95" s="351"/>
      <c r="N95" s="351"/>
    </row>
    <row r="96" spans="2:14" s="252" customFormat="1" ht="15" customHeight="1">
      <c r="B96" s="262">
        <v>35</v>
      </c>
      <c r="C96" s="358" t="s">
        <v>578</v>
      </c>
      <c r="D96" s="358" t="s">
        <v>673</v>
      </c>
      <c r="E96" s="353"/>
      <c r="F96" s="267">
        <v>14164</v>
      </c>
      <c r="G96" s="259">
        <f>SUM(G97:G99)</f>
        <v>0</v>
      </c>
      <c r="H96" s="257">
        <f>G96/F96*100</f>
        <v>0</v>
      </c>
      <c r="I96" s="257" t="e">
        <f>K96/G96</f>
        <v>#DIV/0!</v>
      </c>
      <c r="J96" s="256">
        <f>K96/F96</f>
        <v>0</v>
      </c>
      <c r="K96" s="259">
        <f>SUM(K97:K98)</f>
        <v>0</v>
      </c>
      <c r="L96" s="263">
        <v>1</v>
      </c>
      <c r="M96" s="259"/>
      <c r="N96" s="259"/>
    </row>
    <row r="97" spans="2:14" s="252" customFormat="1" ht="15" customHeight="1">
      <c r="B97" s="262"/>
      <c r="C97" s="358"/>
      <c r="D97" s="359" t="s">
        <v>405</v>
      </c>
      <c r="E97" s="353"/>
      <c r="F97" s="267"/>
      <c r="G97" s="351">
        <f>F97*H97/100</f>
        <v>0</v>
      </c>
      <c r="H97" s="352">
        <v>30</v>
      </c>
      <c r="I97" s="352">
        <v>3</v>
      </c>
      <c r="J97" s="280" t="e">
        <f>K97/F97</f>
        <v>#DIV/0!</v>
      </c>
      <c r="K97" s="351">
        <f>G97*I97</f>
        <v>0</v>
      </c>
      <c r="L97" s="263"/>
      <c r="M97" s="259"/>
      <c r="N97" s="259"/>
    </row>
    <row r="98" spans="2:14" s="252" customFormat="1" ht="15" customHeight="1">
      <c r="B98" s="262"/>
      <c r="C98" s="358"/>
      <c r="D98" s="359" t="s">
        <v>598</v>
      </c>
      <c r="E98" s="353"/>
      <c r="F98" s="267"/>
      <c r="G98" s="351">
        <f>F98*H98/100</f>
        <v>0</v>
      </c>
      <c r="H98" s="352">
        <v>30</v>
      </c>
      <c r="I98" s="352">
        <v>3</v>
      </c>
      <c r="J98" s="280" t="e">
        <f>K98/F98</f>
        <v>#DIV/0!</v>
      </c>
      <c r="K98" s="351">
        <f>G98*I98</f>
        <v>0</v>
      </c>
      <c r="L98" s="263"/>
      <c r="M98" s="259"/>
      <c r="N98" s="259"/>
    </row>
    <row r="99" spans="2:14" s="252" customFormat="1" ht="15" customHeight="1">
      <c r="B99" s="262"/>
      <c r="C99" s="358"/>
      <c r="D99" s="359" t="s">
        <v>659</v>
      </c>
      <c r="E99" s="353" t="s">
        <v>651</v>
      </c>
      <c r="F99" s="267"/>
      <c r="G99" s="259"/>
      <c r="H99" s="257"/>
      <c r="I99" s="257"/>
      <c r="J99" s="257"/>
      <c r="K99" s="259"/>
      <c r="L99" s="263"/>
      <c r="M99" s="259"/>
      <c r="N99" s="259"/>
    </row>
    <row r="100" spans="2:14" s="252" customFormat="1" ht="15">
      <c r="B100" s="262">
        <v>36</v>
      </c>
      <c r="C100" s="358" t="s">
        <v>579</v>
      </c>
      <c r="D100" s="358" t="s">
        <v>674</v>
      </c>
      <c r="E100" s="353"/>
      <c r="F100" s="267">
        <v>18562</v>
      </c>
      <c r="G100" s="259">
        <f>F100*H100/100</f>
        <v>5568.6</v>
      </c>
      <c r="H100" s="257">
        <v>30</v>
      </c>
      <c r="I100" s="257">
        <v>3</v>
      </c>
      <c r="J100" s="256">
        <f aca="true" t="shared" si="7" ref="J100:J108">K100/F100</f>
        <v>0.9000000000000001</v>
      </c>
      <c r="K100" s="259">
        <f>G100*I100</f>
        <v>16705.800000000003</v>
      </c>
      <c r="L100" s="263">
        <v>1</v>
      </c>
      <c r="M100" s="259"/>
      <c r="N100" s="259"/>
    </row>
    <row r="101" spans="2:14" s="252" customFormat="1" ht="15">
      <c r="B101" s="262">
        <v>37</v>
      </c>
      <c r="C101" s="362" t="s">
        <v>580</v>
      </c>
      <c r="D101" s="362" t="s">
        <v>660</v>
      </c>
      <c r="E101" s="254"/>
      <c r="F101" s="369">
        <v>7827</v>
      </c>
      <c r="G101" s="259">
        <f>SUM(G102:G104)</f>
        <v>2648.1</v>
      </c>
      <c r="H101" s="257">
        <f>G101/F101*100</f>
        <v>33.83288616328095</v>
      </c>
      <c r="I101" s="257">
        <f>K101/G101</f>
        <v>0</v>
      </c>
      <c r="J101" s="256">
        <f t="shared" si="7"/>
        <v>0</v>
      </c>
      <c r="K101" s="259">
        <f>SUM(K102:K103)</f>
        <v>0</v>
      </c>
      <c r="L101" s="263">
        <v>1</v>
      </c>
      <c r="M101" s="259"/>
      <c r="N101" s="259"/>
    </row>
    <row r="102" spans="2:14" s="265" customFormat="1" ht="15">
      <c r="B102" s="262"/>
      <c r="C102" s="262"/>
      <c r="D102" s="281" t="s">
        <v>659</v>
      </c>
      <c r="E102" s="281" t="s">
        <v>666</v>
      </c>
      <c r="F102" s="267"/>
      <c r="G102" s="351">
        <f>F102*H102/100</f>
        <v>0</v>
      </c>
      <c r="H102" s="352">
        <v>30</v>
      </c>
      <c r="I102" s="352">
        <v>3</v>
      </c>
      <c r="J102" s="280" t="e">
        <f t="shared" si="7"/>
        <v>#DIV/0!</v>
      </c>
      <c r="K102" s="351">
        <f>G102*I102</f>
        <v>0</v>
      </c>
      <c r="L102" s="263"/>
      <c r="M102" s="263"/>
      <c r="N102" s="263"/>
    </row>
    <row r="103" spans="2:14" s="265" customFormat="1" ht="15">
      <c r="B103" s="262"/>
      <c r="C103" s="262"/>
      <c r="D103" s="281" t="s">
        <v>360</v>
      </c>
      <c r="E103" s="266"/>
      <c r="F103" s="267"/>
      <c r="G103" s="351">
        <f>F103*H103/100</f>
        <v>0</v>
      </c>
      <c r="H103" s="352">
        <v>30</v>
      </c>
      <c r="I103" s="352">
        <v>3</v>
      </c>
      <c r="J103" s="280" t="e">
        <f t="shared" si="7"/>
        <v>#DIV/0!</v>
      </c>
      <c r="K103" s="351">
        <f>G103*I103</f>
        <v>0</v>
      </c>
      <c r="L103" s="263"/>
      <c r="M103" s="263"/>
      <c r="N103" s="263"/>
    </row>
    <row r="104" spans="2:14" s="252" customFormat="1" ht="15.75" customHeight="1">
      <c r="B104" s="262">
        <v>38</v>
      </c>
      <c r="C104" s="358" t="s">
        <v>581</v>
      </c>
      <c r="D104" s="358" t="s">
        <v>675</v>
      </c>
      <c r="E104" s="353"/>
      <c r="F104" s="267">
        <v>22805</v>
      </c>
      <c r="G104" s="259">
        <f>SUM(G105:G107)</f>
        <v>2648.1</v>
      </c>
      <c r="H104" s="257">
        <f>G104/F104*100</f>
        <v>11.611927208945406</v>
      </c>
      <c r="I104" s="257">
        <f>K104/G104</f>
        <v>0</v>
      </c>
      <c r="J104" s="256">
        <f t="shared" si="7"/>
        <v>0</v>
      </c>
      <c r="K104" s="259">
        <f>SUM(K105:K106)</f>
        <v>0</v>
      </c>
      <c r="L104" s="263">
        <v>1</v>
      </c>
      <c r="M104" s="259"/>
      <c r="N104" s="259"/>
    </row>
    <row r="105" spans="2:14" ht="15.75" customHeight="1">
      <c r="B105" s="262"/>
      <c r="C105" s="359"/>
      <c r="D105" s="359" t="s">
        <v>598</v>
      </c>
      <c r="E105" s="353"/>
      <c r="F105" s="283"/>
      <c r="G105" s="351">
        <f>F105*H105/100</f>
        <v>0</v>
      </c>
      <c r="H105" s="352">
        <v>30</v>
      </c>
      <c r="I105" s="352">
        <v>3</v>
      </c>
      <c r="J105" s="280" t="e">
        <f t="shared" si="7"/>
        <v>#DIV/0!</v>
      </c>
      <c r="K105" s="351">
        <f>G105*I105</f>
        <v>0</v>
      </c>
      <c r="L105" s="284"/>
      <c r="M105" s="351"/>
      <c r="N105" s="351"/>
    </row>
    <row r="106" spans="2:14" ht="15.75" customHeight="1">
      <c r="B106" s="262"/>
      <c r="C106" s="359"/>
      <c r="D106" s="359" t="s">
        <v>405</v>
      </c>
      <c r="E106" s="353"/>
      <c r="F106" s="283"/>
      <c r="G106" s="351">
        <f>F106*H106/100</f>
        <v>0</v>
      </c>
      <c r="H106" s="352">
        <v>30</v>
      </c>
      <c r="I106" s="352">
        <v>3</v>
      </c>
      <c r="J106" s="280" t="e">
        <f t="shared" si="7"/>
        <v>#DIV/0!</v>
      </c>
      <c r="K106" s="351">
        <f>G106*I106</f>
        <v>0</v>
      </c>
      <c r="L106" s="284"/>
      <c r="M106" s="351"/>
      <c r="N106" s="351"/>
    </row>
    <row r="107" spans="2:14" s="265" customFormat="1" ht="28.5">
      <c r="B107" s="262">
        <v>39</v>
      </c>
      <c r="C107" s="361" t="s">
        <v>648</v>
      </c>
      <c r="D107" s="361" t="s">
        <v>676</v>
      </c>
      <c r="E107" s="281" t="s">
        <v>665</v>
      </c>
      <c r="F107" s="267">
        <v>8827</v>
      </c>
      <c r="G107" s="259">
        <f>F107*H107/100</f>
        <v>2648.1</v>
      </c>
      <c r="H107" s="257">
        <v>30</v>
      </c>
      <c r="I107" s="257">
        <v>3</v>
      </c>
      <c r="J107" s="256">
        <f t="shared" si="7"/>
        <v>0.8999999999999999</v>
      </c>
      <c r="K107" s="259">
        <f>G107*I107</f>
        <v>7944.299999999999</v>
      </c>
      <c r="L107" s="263">
        <v>1</v>
      </c>
      <c r="M107" s="263"/>
      <c r="N107" s="263"/>
    </row>
    <row r="108" spans="2:14" s="252" customFormat="1" ht="30">
      <c r="B108" s="262">
        <v>40</v>
      </c>
      <c r="C108" s="262" t="s">
        <v>649</v>
      </c>
      <c r="D108" s="262" t="s">
        <v>657</v>
      </c>
      <c r="E108" s="281" t="s">
        <v>658</v>
      </c>
      <c r="F108" s="267">
        <v>8737</v>
      </c>
      <c r="G108" s="259">
        <f>F108*H108/100</f>
        <v>2621.1</v>
      </c>
      <c r="H108" s="257">
        <v>30</v>
      </c>
      <c r="I108" s="257">
        <v>3</v>
      </c>
      <c r="J108" s="256">
        <f t="shared" si="7"/>
        <v>0.8999999999999999</v>
      </c>
      <c r="K108" s="259">
        <f>G108*I108</f>
        <v>7863.299999999999</v>
      </c>
      <c r="L108" s="263">
        <v>1</v>
      </c>
      <c r="M108" s="259"/>
      <c r="N108" s="259"/>
    </row>
    <row r="109" spans="2:14" s="252" customFormat="1" ht="15">
      <c r="B109" s="262">
        <v>41</v>
      </c>
      <c r="C109" s="262" t="s">
        <v>654</v>
      </c>
      <c r="D109" s="262" t="s">
        <v>616</v>
      </c>
      <c r="E109" s="254"/>
      <c r="F109" s="267">
        <v>2422</v>
      </c>
      <c r="G109" s="259"/>
      <c r="H109" s="257"/>
      <c r="I109" s="257"/>
      <c r="J109" s="257"/>
      <c r="K109" s="259"/>
      <c r="L109" s="263">
        <v>1</v>
      </c>
      <c r="M109" s="259"/>
      <c r="N109" s="259"/>
    </row>
    <row r="110" spans="2:14" s="252" customFormat="1" ht="15.75" customHeight="1">
      <c r="B110" s="262"/>
      <c r="C110" s="281"/>
      <c r="D110" s="358" t="s">
        <v>501</v>
      </c>
      <c r="E110" s="354"/>
      <c r="F110" s="267">
        <f>F113-F4-F5-F9-F12-F13-F14-F18-F21-F24-F28-F31-F34-F38-F41-F42-F43-F47-F50-F51-F52-F55-F59-F60-F61-F67-F70-F74-F77-F78-F79-F85-F88-F91-F96-F100-F101-F104-F107-F108-F109-F92</f>
        <v>150525</v>
      </c>
      <c r="G110" s="259"/>
      <c r="H110" s="257"/>
      <c r="I110" s="257"/>
      <c r="J110" s="257"/>
      <c r="K110" s="259"/>
      <c r="L110" s="263">
        <v>1</v>
      </c>
      <c r="M110" s="259"/>
      <c r="N110" s="259"/>
    </row>
    <row r="111" spans="2:14" s="252" customFormat="1" ht="18" customHeight="1">
      <c r="B111" s="262"/>
      <c r="C111" s="281"/>
      <c r="D111" s="359" t="s">
        <v>655</v>
      </c>
      <c r="E111" s="354"/>
      <c r="F111" s="283">
        <v>1228</v>
      </c>
      <c r="G111" s="259"/>
      <c r="H111" s="257"/>
      <c r="I111" s="257"/>
      <c r="J111" s="257"/>
      <c r="K111" s="259"/>
      <c r="L111" s="263"/>
      <c r="M111" s="259"/>
      <c r="N111" s="259"/>
    </row>
    <row r="112" spans="2:14" s="252" customFormat="1" ht="16.5" customHeight="1">
      <c r="B112" s="262"/>
      <c r="C112" s="281"/>
      <c r="D112" s="359" t="s">
        <v>656</v>
      </c>
      <c r="E112" s="354"/>
      <c r="F112" s="283">
        <f>F110-F111</f>
        <v>149297</v>
      </c>
      <c r="G112" s="259"/>
      <c r="H112" s="257"/>
      <c r="I112" s="257"/>
      <c r="J112" s="257"/>
      <c r="K112" s="259"/>
      <c r="L112" s="263"/>
      <c r="M112" s="259"/>
      <c r="N112" s="259"/>
    </row>
    <row r="113" spans="2:14" s="252" customFormat="1" ht="15">
      <c r="B113" s="262"/>
      <c r="C113" s="281"/>
      <c r="D113" s="358" t="s">
        <v>349</v>
      </c>
      <c r="E113" s="353"/>
      <c r="F113" s="267">
        <v>488140</v>
      </c>
      <c r="G113" s="259">
        <f aca="true" t="shared" si="8" ref="G113:L113">G4+G5+G9+G12+G13+G14+G18+G21+G24+G28+G31+G34+G38+G41+G42+G43+G47+G50+G51+G52+G55+G59+G60+G61+G67+G70+G74+G77+G78+G79+G85+G88+G91+G92+G96+G100+G101+G104+G107+G108+G109+G110</f>
        <v>49724.45999999999</v>
      </c>
      <c r="H113" s="259">
        <f t="shared" si="8"/>
        <v>807.4607218985732</v>
      </c>
      <c r="I113" s="259" t="e">
        <f t="shared" si="8"/>
        <v>#DIV/0!</v>
      </c>
      <c r="J113" s="259">
        <f t="shared" si="8"/>
        <v>16.049444454484366</v>
      </c>
      <c r="K113" s="259">
        <f t="shared" si="8"/>
        <v>122415</v>
      </c>
      <c r="L113" s="263">
        <f t="shared" si="8"/>
        <v>8487</v>
      </c>
      <c r="M113" s="259"/>
      <c r="N113" s="259"/>
    </row>
    <row r="115" spans="5:7" ht="15">
      <c r="E115" s="258">
        <v>488140</v>
      </c>
      <c r="F115" s="370">
        <f>SUM(F4:F110)-F6-F7-F8-F62-F65-F66-F80-F83-F84-F10-F11-F15-F16-F17-F19-F20-F71-F72-F73</f>
        <v>488140</v>
      </c>
      <c r="G115" s="393">
        <f>G4+G5+G9+G12+G13+G14+G18+G21+G24+G28+G31+G34+G38+G41+G42+G43+G47+G50+G51+G52+G55+G59+G60+G61+G67+G70+G74+G77+G78+G79+G85+G88+G91+G92+G96+G100+G101+G104+G107+G108+G109+G110</f>
        <v>49724.45999999999</v>
      </c>
    </row>
    <row r="116" ht="15">
      <c r="F116" s="260">
        <f>F115-F113</f>
        <v>0</v>
      </c>
    </row>
    <row r="119" spans="2:5" ht="15">
      <c r="B119" s="366"/>
      <c r="C119" s="329"/>
      <c r="D119" s="330" t="s">
        <v>470</v>
      </c>
      <c r="E119" s="330"/>
    </row>
    <row r="120" spans="2:5" ht="15">
      <c r="B120" s="366"/>
      <c r="C120" s="329"/>
      <c r="D120" s="330"/>
      <c r="E120" s="330"/>
    </row>
    <row r="121" spans="2:6" ht="12.75" customHeight="1">
      <c r="B121" s="367" t="s">
        <v>6</v>
      </c>
      <c r="C121" s="331"/>
      <c r="D121" s="331" t="s">
        <v>29</v>
      </c>
      <c r="E121" s="331" t="s">
        <v>476</v>
      </c>
      <c r="F121" s="279"/>
    </row>
    <row r="122" spans="2:6" ht="42.75">
      <c r="B122" s="368">
        <v>1</v>
      </c>
      <c r="C122" s="331"/>
      <c r="D122" s="332" t="s">
        <v>475</v>
      </c>
      <c r="E122" s="333" t="e">
        <f>F12+F21+F40+F41+#REF!+#REF!+#REF!+F43+#REF!+#REF!+#REF!+#REF!+F20+#REF!+#REF!</f>
        <v>#REF!</v>
      </c>
      <c r="F122" s="279" t="e">
        <f>E122-F20-#REF!</f>
        <v>#REF!</v>
      </c>
    </row>
    <row r="123" spans="2:6" ht="17.25" customHeight="1">
      <c r="B123" s="368">
        <v>2</v>
      </c>
      <c r="C123" s="331"/>
      <c r="D123" s="332" t="s">
        <v>471</v>
      </c>
      <c r="E123" s="333" t="e">
        <f>#REF!+#REF!+#REF!+#REF!+#REF!+#REF!+#REF!+F79+#REF!+#REF!+#REF!</f>
        <v>#REF!</v>
      </c>
      <c r="F123" s="279" t="e">
        <f>E123</f>
        <v>#REF!</v>
      </c>
    </row>
    <row r="124" spans="2:6" ht="28.5">
      <c r="B124" s="368">
        <v>3</v>
      </c>
      <c r="C124" s="331"/>
      <c r="D124" s="332" t="s">
        <v>472</v>
      </c>
      <c r="E124" s="333" t="e">
        <f>SUM(E125:E126)</f>
        <v>#REF!</v>
      </c>
      <c r="F124" s="279" t="e">
        <f>F125+F126</f>
        <v>#REF!</v>
      </c>
    </row>
    <row r="125" spans="2:6" ht="15">
      <c r="B125" s="368" t="s">
        <v>81</v>
      </c>
      <c r="C125" s="331"/>
      <c r="D125" s="332" t="s">
        <v>473</v>
      </c>
      <c r="E125" s="331">
        <f>F92</f>
        <v>13660</v>
      </c>
      <c r="F125" s="279">
        <f aca="true" t="shared" si="9" ref="F125:F130">E125</f>
        <v>13660</v>
      </c>
    </row>
    <row r="126" spans="2:6" ht="15">
      <c r="B126" s="368" t="s">
        <v>82</v>
      </c>
      <c r="C126" s="331"/>
      <c r="D126" s="332" t="s">
        <v>474</v>
      </c>
      <c r="E126" s="331" t="e">
        <f>#REF!+F14+#REF!+#REF!+F58+#REF!</f>
        <v>#REF!</v>
      </c>
      <c r="F126" s="279" t="e">
        <f>E126+F20+#REF!</f>
        <v>#REF!</v>
      </c>
    </row>
    <row r="127" spans="2:6" ht="28.5">
      <c r="B127" s="368">
        <v>4</v>
      </c>
      <c r="C127" s="331"/>
      <c r="D127" s="332" t="s">
        <v>503</v>
      </c>
      <c r="E127" s="333" t="e">
        <f>F96+#REF!</f>
        <v>#REF!</v>
      </c>
      <c r="F127" s="279" t="e">
        <f t="shared" si="9"/>
        <v>#REF!</v>
      </c>
    </row>
    <row r="128" spans="2:6" ht="15">
      <c r="B128" s="368">
        <v>5</v>
      </c>
      <c r="C128" s="331"/>
      <c r="D128" s="332" t="s">
        <v>405</v>
      </c>
      <c r="E128" s="333" t="e">
        <f>#REF!+#REF!</f>
        <v>#REF!</v>
      </c>
      <c r="F128" s="279" t="e">
        <f t="shared" si="9"/>
        <v>#REF!</v>
      </c>
    </row>
    <row r="129" spans="2:6" ht="15">
      <c r="B129" s="368">
        <v>6</v>
      </c>
      <c r="C129" s="331"/>
      <c r="D129" s="332" t="s">
        <v>502</v>
      </c>
      <c r="E129" s="333">
        <f>F100+F88+F85</f>
        <v>36439</v>
      </c>
      <c r="F129" s="279">
        <f t="shared" si="9"/>
        <v>36439</v>
      </c>
    </row>
    <row r="130" spans="2:6" ht="15">
      <c r="B130" s="368"/>
      <c r="C130" s="331"/>
      <c r="D130" s="332" t="s">
        <v>310</v>
      </c>
      <c r="E130" s="333" t="e">
        <f>F110+#REF!</f>
        <v>#REF!</v>
      </c>
      <c r="F130" s="279" t="e">
        <f t="shared" si="9"/>
        <v>#REF!</v>
      </c>
    </row>
    <row r="131" spans="2:6" ht="15">
      <c r="B131" s="368"/>
      <c r="C131" s="331"/>
      <c r="D131" s="332" t="s">
        <v>504</v>
      </c>
      <c r="E131" s="333" t="e">
        <f>E122+E123+E124+E127+E128+E129+E130</f>
        <v>#REF!</v>
      </c>
      <c r="F131" s="279" t="e">
        <f>F122+F123+F124+F127+F128+F129+F130</f>
        <v>#REF!</v>
      </c>
    </row>
    <row r="132" ht="15">
      <c r="E132" s="322">
        <f>F113</f>
        <v>488140</v>
      </c>
    </row>
    <row r="134" spans="2:6" ht="15">
      <c r="B134" s="254" t="s">
        <v>6</v>
      </c>
      <c r="C134" s="253"/>
      <c r="D134" s="278" t="s">
        <v>482</v>
      </c>
      <c r="E134" s="253" t="s">
        <v>483</v>
      </c>
      <c r="F134" s="279"/>
    </row>
    <row r="135" spans="2:6" ht="15">
      <c r="B135" s="360" t="s">
        <v>56</v>
      </c>
      <c r="C135" s="253"/>
      <c r="D135" s="278" t="s">
        <v>507</v>
      </c>
      <c r="E135" s="321">
        <f>F110</f>
        <v>150525</v>
      </c>
      <c r="F135" s="279"/>
    </row>
    <row r="136" spans="2:6" ht="15">
      <c r="B136" s="360" t="s">
        <v>170</v>
      </c>
      <c r="C136" s="253"/>
      <c r="D136" s="278" t="s">
        <v>508</v>
      </c>
      <c r="E136" s="321">
        <f>F113-E135</f>
        <v>337615</v>
      </c>
      <c r="F136" s="285">
        <f>E136/313475*100</f>
        <v>107.70077358641039</v>
      </c>
    </row>
    <row r="137" spans="2:6" ht="15">
      <c r="B137" s="360">
        <v>1</v>
      </c>
      <c r="C137" s="253"/>
      <c r="D137" s="278" t="s">
        <v>510</v>
      </c>
      <c r="E137" s="321" t="e">
        <f>#REF!+#REF!+F73+#REF!+#REF!+F79+#REF!+F85+F88+F92+#REF!+#REF!</f>
        <v>#REF!</v>
      </c>
      <c r="F137" s="285" t="e">
        <f>E137/313475*100</f>
        <v>#REF!</v>
      </c>
    </row>
    <row r="138" spans="2:6" ht="15">
      <c r="B138" s="360">
        <v>2</v>
      </c>
      <c r="C138" s="253"/>
      <c r="D138" s="278" t="s">
        <v>477</v>
      </c>
      <c r="E138" s="321" t="e">
        <f>E136-E137+E139</f>
        <v>#REF!</v>
      </c>
      <c r="F138" s="285" t="e">
        <f>E138/313475*100</f>
        <v>#REF!</v>
      </c>
    </row>
    <row r="139" spans="2:6" ht="15">
      <c r="B139" s="360">
        <v>3</v>
      </c>
      <c r="C139" s="253"/>
      <c r="D139" s="278" t="s">
        <v>478</v>
      </c>
      <c r="E139" s="321" t="e">
        <f>SUM(E140:E142)</f>
        <v>#REF!</v>
      </c>
      <c r="F139" s="285" t="e">
        <f>E139/313475*100</f>
        <v>#REF!</v>
      </c>
    </row>
    <row r="140" spans="2:6" ht="15">
      <c r="B140" s="360"/>
      <c r="C140" s="253"/>
      <c r="D140" s="278" t="s">
        <v>479</v>
      </c>
      <c r="E140" s="321" t="e">
        <f>#REF!</f>
        <v>#REF!</v>
      </c>
      <c r="F140" s="279"/>
    </row>
    <row r="141" spans="2:6" ht="15">
      <c r="B141" s="360"/>
      <c r="C141" s="253"/>
      <c r="D141" s="278" t="s">
        <v>480</v>
      </c>
      <c r="E141" s="321" t="e">
        <f>#REF!</f>
        <v>#REF!</v>
      </c>
      <c r="F141" s="279"/>
    </row>
    <row r="142" spans="2:6" ht="15">
      <c r="B142" s="360"/>
      <c r="C142" s="253"/>
      <c r="D142" s="278" t="s">
        <v>481</v>
      </c>
      <c r="E142" s="321" t="e">
        <f>#REF!+#REF!</f>
        <v>#REF!</v>
      </c>
      <c r="F142" s="279"/>
    </row>
  </sheetData>
  <mergeCells count="1">
    <mergeCell ref="B1:L1"/>
  </mergeCells>
  <printOptions horizontalCentered="1"/>
  <pageMargins left="0" right="0" top="0" bottom="0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5"/>
  <sheetViews>
    <sheetView workbookViewId="0" topLeftCell="A1">
      <selection activeCell="D13" sqref="D13"/>
    </sheetView>
  </sheetViews>
  <sheetFormatPr defaultColWidth="9.140625" defaultRowHeight="12.75"/>
  <cols>
    <col min="1" max="1" width="5.421875" style="260" customWidth="1"/>
    <col min="2" max="2" width="6.140625" style="260" customWidth="1"/>
    <col min="3" max="3" width="8.00390625" style="276" customWidth="1"/>
    <col min="4" max="4" width="38.57421875" style="276" customWidth="1"/>
    <col min="5" max="5" width="11.421875" style="260" customWidth="1"/>
    <col min="6" max="8" width="10.57421875" style="260" customWidth="1"/>
    <col min="9" max="9" width="47.28125" style="260" customWidth="1"/>
    <col min="10" max="10" width="11.8515625" style="260" customWidth="1"/>
    <col min="11" max="11" width="18.7109375" style="260" customWidth="1"/>
    <col min="12" max="16384" width="9.140625" style="260" customWidth="1"/>
  </cols>
  <sheetData>
    <row r="1" spans="4:11" ht="20.25">
      <c r="D1" s="421" t="s">
        <v>361</v>
      </c>
      <c r="E1" s="421"/>
      <c r="F1" s="421"/>
      <c r="G1" s="319"/>
      <c r="H1" s="319"/>
      <c r="I1" s="319"/>
      <c r="J1" s="266"/>
      <c r="K1" s="266"/>
    </row>
    <row r="2" spans="4:11" ht="20.25">
      <c r="D2" s="319"/>
      <c r="E2" s="319"/>
      <c r="F2" s="319"/>
      <c r="G2" s="319"/>
      <c r="H2" s="319"/>
      <c r="I2" s="319"/>
      <c r="J2" s="328"/>
      <c r="K2" s="328"/>
    </row>
    <row r="3" spans="4:11" ht="20.25">
      <c r="D3" s="319"/>
      <c r="E3" s="319"/>
      <c r="F3" s="319"/>
      <c r="G3" s="319"/>
      <c r="H3" s="319"/>
      <c r="I3" s="319"/>
      <c r="J3" s="328"/>
      <c r="K3" s="328"/>
    </row>
    <row r="4" spans="2:11" ht="14.25">
      <c r="B4" s="279"/>
      <c r="C4" s="281"/>
      <c r="D4" s="281"/>
      <c r="E4" s="279"/>
      <c r="F4" s="279"/>
      <c r="G4" s="279"/>
      <c r="H4" s="279"/>
      <c r="I4" s="279"/>
      <c r="J4" s="279"/>
      <c r="K4" s="279"/>
    </row>
    <row r="5" spans="2:11" s="265" customFormat="1" ht="30" customHeight="1">
      <c r="B5" s="266" t="s">
        <v>6</v>
      </c>
      <c r="C5" s="262" t="s">
        <v>28</v>
      </c>
      <c r="D5" s="266" t="s">
        <v>29</v>
      </c>
      <c r="E5" s="266" t="s">
        <v>306</v>
      </c>
      <c r="F5" s="266" t="s">
        <v>307</v>
      </c>
      <c r="G5" s="320" t="s">
        <v>43</v>
      </c>
      <c r="H5" s="266" t="s">
        <v>515</v>
      </c>
      <c r="I5" s="266" t="s">
        <v>29</v>
      </c>
      <c r="J5" s="320" t="s">
        <v>43</v>
      </c>
      <c r="K5" s="266" t="s">
        <v>391</v>
      </c>
    </row>
    <row r="6" spans="2:11" s="265" customFormat="1" ht="15">
      <c r="B6" s="262">
        <v>1</v>
      </c>
      <c r="C6" s="262" t="s">
        <v>350</v>
      </c>
      <c r="D6" s="192" t="s">
        <v>360</v>
      </c>
      <c r="E6" s="267" t="e">
        <f>Htrang!#REF!</f>
        <v>#REF!</v>
      </c>
      <c r="F6" s="263" t="e">
        <f>E6*J6/100</f>
        <v>#REF!</v>
      </c>
      <c r="G6" s="263"/>
      <c r="H6" s="263"/>
      <c r="I6" s="192" t="s">
        <v>360</v>
      </c>
      <c r="J6" s="268">
        <v>45</v>
      </c>
      <c r="K6" s="261" t="s">
        <v>390</v>
      </c>
    </row>
    <row r="7" spans="2:11" s="265" customFormat="1" ht="56.25" customHeight="1">
      <c r="B7" s="262">
        <v>2</v>
      </c>
      <c r="C7" s="262" t="s">
        <v>351</v>
      </c>
      <c r="D7" s="192" t="s">
        <v>484</v>
      </c>
      <c r="E7" s="267">
        <f>Htrang!F12</f>
        <v>1857</v>
      </c>
      <c r="F7" s="263">
        <v>1163</v>
      </c>
      <c r="G7" s="263"/>
      <c r="H7" s="263"/>
      <c r="I7" s="192" t="s">
        <v>484</v>
      </c>
      <c r="J7" s="268">
        <f>F7/E7*100</f>
        <v>62.6278944534195</v>
      </c>
      <c r="K7" s="261" t="s">
        <v>388</v>
      </c>
    </row>
    <row r="8" spans="2:11" s="265" customFormat="1" ht="28.5">
      <c r="B8" s="262">
        <v>3</v>
      </c>
      <c r="C8" s="262" t="s">
        <v>352</v>
      </c>
      <c r="D8" s="192" t="s">
        <v>485</v>
      </c>
      <c r="E8" s="267" t="e">
        <f>Htrang!#REF!</f>
        <v>#REF!</v>
      </c>
      <c r="F8" s="263" t="e">
        <f>E8*J8/100</f>
        <v>#REF!</v>
      </c>
      <c r="G8" s="263"/>
      <c r="H8" s="263"/>
      <c r="I8" s="192" t="s">
        <v>485</v>
      </c>
      <c r="J8" s="268">
        <v>40</v>
      </c>
      <c r="K8" s="261" t="s">
        <v>420</v>
      </c>
    </row>
    <row r="9" spans="2:11" s="265" customFormat="1" ht="42.75">
      <c r="B9" s="262">
        <v>4</v>
      </c>
      <c r="C9" s="262" t="s">
        <v>353</v>
      </c>
      <c r="D9" s="192" t="s">
        <v>486</v>
      </c>
      <c r="E9" s="267">
        <f>Htrang!F14</f>
        <v>2921</v>
      </c>
      <c r="F9" s="263">
        <v>2674</v>
      </c>
      <c r="G9" s="263"/>
      <c r="H9" s="263"/>
      <c r="I9" s="192" t="s">
        <v>486</v>
      </c>
      <c r="J9" s="268">
        <f>F9/E9*100</f>
        <v>91.54399178363573</v>
      </c>
      <c r="K9" s="261" t="s">
        <v>389</v>
      </c>
    </row>
    <row r="10" spans="2:11" s="265" customFormat="1" ht="30">
      <c r="B10" s="262">
        <v>5</v>
      </c>
      <c r="C10" s="262" t="s">
        <v>354</v>
      </c>
      <c r="D10" s="192" t="s">
        <v>485</v>
      </c>
      <c r="E10" s="267">
        <f>Htrang!F20</f>
        <v>6778</v>
      </c>
      <c r="F10" s="263">
        <f>SUM(F11:F12)</f>
        <v>2357</v>
      </c>
      <c r="G10" s="263"/>
      <c r="H10" s="263"/>
      <c r="I10" s="180" t="s">
        <v>509</v>
      </c>
      <c r="J10" s="268">
        <f>F10/E10*100</f>
        <v>34.774269696075535</v>
      </c>
      <c r="K10" s="261" t="s">
        <v>364</v>
      </c>
    </row>
    <row r="11" spans="2:11" ht="14.25">
      <c r="B11" s="281"/>
      <c r="C11" s="281"/>
      <c r="D11" s="282" t="s">
        <v>408</v>
      </c>
      <c r="E11" s="283">
        <f>E10-E12</f>
        <v>5916</v>
      </c>
      <c r="F11" s="284">
        <v>2357</v>
      </c>
      <c r="G11" s="284"/>
      <c r="H11" s="284"/>
      <c r="I11" s="282" t="s">
        <v>408</v>
      </c>
      <c r="J11" s="286"/>
      <c r="K11" s="261"/>
    </row>
    <row r="12" spans="2:11" ht="14.25">
      <c r="B12" s="281"/>
      <c r="C12" s="281"/>
      <c r="D12" s="282" t="s">
        <v>411</v>
      </c>
      <c r="E12" s="283">
        <v>862</v>
      </c>
      <c r="F12" s="284"/>
      <c r="G12" s="284"/>
      <c r="H12" s="284"/>
      <c r="I12" s="282" t="s">
        <v>411</v>
      </c>
      <c r="J12" s="286"/>
      <c r="K12" s="261"/>
    </row>
    <row r="13" spans="2:11" s="265" customFormat="1" ht="30">
      <c r="B13" s="262">
        <v>6</v>
      </c>
      <c r="C13" s="262" t="s">
        <v>355</v>
      </c>
      <c r="D13" s="192" t="s">
        <v>516</v>
      </c>
      <c r="E13" s="267">
        <f>Htrang!F21</f>
        <v>7078</v>
      </c>
      <c r="F13" s="263">
        <f>E13*J13/100</f>
        <v>3326.66</v>
      </c>
      <c r="G13" s="263"/>
      <c r="H13" s="263"/>
      <c r="I13" s="192" t="s">
        <v>487</v>
      </c>
      <c r="J13" s="268">
        <v>47</v>
      </c>
      <c r="K13" s="261" t="s">
        <v>395</v>
      </c>
    </row>
    <row r="14" spans="2:11" s="265" customFormat="1" ht="30">
      <c r="B14" s="262">
        <v>7</v>
      </c>
      <c r="C14" s="262" t="s">
        <v>356</v>
      </c>
      <c r="D14" s="192" t="s">
        <v>512</v>
      </c>
      <c r="E14" s="267" t="e">
        <f>Htrang!#REF!</f>
        <v>#REF!</v>
      </c>
      <c r="F14" s="263">
        <f>SUM(F15:F17)</f>
        <v>4250</v>
      </c>
      <c r="G14" s="263"/>
      <c r="H14" s="263"/>
      <c r="I14" s="180" t="s">
        <v>512</v>
      </c>
      <c r="J14" s="268" t="e">
        <f>F14/E14*100</f>
        <v>#REF!</v>
      </c>
      <c r="K14" s="261"/>
    </row>
    <row r="15" spans="2:11" ht="28.5">
      <c r="B15" s="281"/>
      <c r="C15" s="281"/>
      <c r="D15" s="282" t="s">
        <v>408</v>
      </c>
      <c r="E15" s="283">
        <v>4904</v>
      </c>
      <c r="F15" s="284">
        <v>4250</v>
      </c>
      <c r="G15" s="284"/>
      <c r="H15" s="284"/>
      <c r="I15" s="282" t="s">
        <v>408</v>
      </c>
      <c r="J15" s="268"/>
      <c r="K15" s="261" t="s">
        <v>410</v>
      </c>
    </row>
    <row r="16" spans="2:11" ht="14.25">
      <c r="B16" s="281"/>
      <c r="C16" s="281"/>
      <c r="D16" s="282" t="s">
        <v>392</v>
      </c>
      <c r="E16" s="283" t="e">
        <f>E14-E15-E17</f>
        <v>#REF!</v>
      </c>
      <c r="F16" s="284"/>
      <c r="G16" s="284"/>
      <c r="H16" s="284"/>
      <c r="I16" s="282" t="s">
        <v>392</v>
      </c>
      <c r="J16" s="286"/>
      <c r="K16" s="261"/>
    </row>
    <row r="17" spans="2:11" ht="14.25">
      <c r="B17" s="281"/>
      <c r="C17" s="281"/>
      <c r="D17" s="282" t="s">
        <v>411</v>
      </c>
      <c r="E17" s="283">
        <v>3456</v>
      </c>
      <c r="F17" s="284"/>
      <c r="G17" s="284"/>
      <c r="H17" s="284"/>
      <c r="I17" s="282" t="s">
        <v>411</v>
      </c>
      <c r="J17" s="286"/>
      <c r="K17" s="261"/>
    </row>
    <row r="18" spans="2:11" s="265" customFormat="1" ht="45">
      <c r="B18" s="262">
        <v>8</v>
      </c>
      <c r="C18" s="262" t="s">
        <v>357</v>
      </c>
      <c r="D18" s="192" t="s">
        <v>488</v>
      </c>
      <c r="E18" s="267">
        <f>Htrang!F40</f>
        <v>0</v>
      </c>
      <c r="F18" s="263">
        <v>2687</v>
      </c>
      <c r="G18" s="263"/>
      <c r="H18" s="263"/>
      <c r="I18" s="192" t="s">
        <v>488</v>
      </c>
      <c r="J18" s="268" t="e">
        <f>F18/E18*100</f>
        <v>#DIV/0!</v>
      </c>
      <c r="K18" s="261" t="s">
        <v>365</v>
      </c>
    </row>
    <row r="19" spans="2:11" s="265" customFormat="1" ht="30">
      <c r="B19" s="262">
        <v>9</v>
      </c>
      <c r="C19" s="262" t="s">
        <v>358</v>
      </c>
      <c r="D19" s="192" t="s">
        <v>489</v>
      </c>
      <c r="E19" s="267">
        <f>Htrang!F41</f>
        <v>16375</v>
      </c>
      <c r="F19" s="284">
        <f>E19*J19/100</f>
        <v>5731.25</v>
      </c>
      <c r="G19" s="284"/>
      <c r="H19" s="284"/>
      <c r="I19" s="192" t="s">
        <v>489</v>
      </c>
      <c r="J19" s="286">
        <v>35</v>
      </c>
      <c r="K19" s="261" t="s">
        <v>394</v>
      </c>
    </row>
    <row r="20" spans="2:11" s="265" customFormat="1" ht="15">
      <c r="B20" s="262">
        <v>10</v>
      </c>
      <c r="C20" s="262" t="s">
        <v>327</v>
      </c>
      <c r="D20" s="192" t="s">
        <v>463</v>
      </c>
      <c r="E20" s="267" t="e">
        <f>Htrang!#REF!</f>
        <v>#REF!</v>
      </c>
      <c r="F20" s="263" t="e">
        <f>SUM(F21:F27)</f>
        <v>#REF!</v>
      </c>
      <c r="G20" s="263"/>
      <c r="H20" s="263"/>
      <c r="I20" s="192" t="s">
        <v>463</v>
      </c>
      <c r="J20" s="268" t="e">
        <f>F20/E20*100</f>
        <v>#REF!</v>
      </c>
      <c r="K20" s="261"/>
    </row>
    <row r="21" spans="2:11" ht="14.25">
      <c r="B21" s="281"/>
      <c r="C21" s="281" t="s">
        <v>379</v>
      </c>
      <c r="D21" s="282" t="s">
        <v>392</v>
      </c>
      <c r="E21" s="283">
        <v>1360</v>
      </c>
      <c r="F21" s="284" t="e">
        <f>Htrang!#REF!</f>
        <v>#REF!</v>
      </c>
      <c r="G21" s="284"/>
      <c r="H21" s="284"/>
      <c r="I21" s="282" t="s">
        <v>392</v>
      </c>
      <c r="J21" s="286" t="e">
        <f>Htrang!#REF!</f>
        <v>#REF!</v>
      </c>
      <c r="K21" s="261"/>
    </row>
    <row r="22" spans="2:11" ht="28.5">
      <c r="B22" s="281"/>
      <c r="C22" s="281" t="s">
        <v>380</v>
      </c>
      <c r="D22" s="200" t="s">
        <v>490</v>
      </c>
      <c r="E22" s="283">
        <v>3720</v>
      </c>
      <c r="F22" s="284" t="e">
        <f>Htrang!#REF!</f>
        <v>#REF!</v>
      </c>
      <c r="G22" s="284"/>
      <c r="H22" s="284"/>
      <c r="I22" s="200" t="s">
        <v>490</v>
      </c>
      <c r="J22" s="286" t="e">
        <f>Htrang!#REF!</f>
        <v>#REF!</v>
      </c>
      <c r="K22" s="261" t="s">
        <v>393</v>
      </c>
    </row>
    <row r="23" spans="2:11" ht="27.75" customHeight="1">
      <c r="B23" s="281"/>
      <c r="C23" s="281" t="s">
        <v>381</v>
      </c>
      <c r="D23" s="200" t="s">
        <v>490</v>
      </c>
      <c r="E23" s="283">
        <v>1660</v>
      </c>
      <c r="F23" s="284" t="e">
        <f>Htrang!#REF!</f>
        <v>#REF!</v>
      </c>
      <c r="G23" s="284"/>
      <c r="H23" s="284"/>
      <c r="I23" s="200" t="s">
        <v>490</v>
      </c>
      <c r="J23" s="286" t="e">
        <f>Htrang!#REF!</f>
        <v>#REF!</v>
      </c>
      <c r="K23" s="261" t="s">
        <v>412</v>
      </c>
    </row>
    <row r="24" spans="2:11" ht="14.25">
      <c r="B24" s="281"/>
      <c r="C24" s="281" t="s">
        <v>382</v>
      </c>
      <c r="D24" s="282" t="s">
        <v>385</v>
      </c>
      <c r="E24" s="283">
        <v>2540</v>
      </c>
      <c r="F24" s="284" t="e">
        <f>Htrang!#REF!</f>
        <v>#REF!</v>
      </c>
      <c r="G24" s="284"/>
      <c r="H24" s="284"/>
      <c r="I24" s="282" t="s">
        <v>385</v>
      </c>
      <c r="J24" s="286" t="e">
        <f>Htrang!#REF!</f>
        <v>#REF!</v>
      </c>
      <c r="K24" s="261"/>
    </row>
    <row r="25" spans="2:11" ht="14.25">
      <c r="B25" s="281"/>
      <c r="C25" s="281" t="s">
        <v>383</v>
      </c>
      <c r="D25" s="282" t="s">
        <v>385</v>
      </c>
      <c r="E25" s="283">
        <v>1130</v>
      </c>
      <c r="F25" s="284" t="e">
        <f>Htrang!#REF!</f>
        <v>#REF!</v>
      </c>
      <c r="G25" s="284"/>
      <c r="H25" s="284"/>
      <c r="I25" s="282" t="s">
        <v>385</v>
      </c>
      <c r="J25" s="286" t="e">
        <f>Htrang!#REF!</f>
        <v>#REF!</v>
      </c>
      <c r="K25" s="261"/>
    </row>
    <row r="26" spans="2:11" ht="14.25">
      <c r="B26" s="281"/>
      <c r="C26" s="281" t="s">
        <v>384</v>
      </c>
      <c r="D26" s="282" t="s">
        <v>385</v>
      </c>
      <c r="E26" s="283">
        <v>1350</v>
      </c>
      <c r="F26" s="284" t="e">
        <f>Htrang!#REF!</f>
        <v>#REF!</v>
      </c>
      <c r="G26" s="284"/>
      <c r="H26" s="284"/>
      <c r="I26" s="282" t="s">
        <v>385</v>
      </c>
      <c r="J26" s="286" t="e">
        <f>Htrang!#REF!</f>
        <v>#REF!</v>
      </c>
      <c r="K26" s="261"/>
    </row>
    <row r="27" spans="2:11" ht="14.25">
      <c r="B27" s="281"/>
      <c r="C27" s="281"/>
      <c r="D27" s="282" t="s">
        <v>386</v>
      </c>
      <c r="E27" s="283" t="e">
        <f>E20-E21-E22-E23-E24-E25-E26</f>
        <v>#REF!</v>
      </c>
      <c r="F27" s="284" t="e">
        <f>Htrang!#REF!</f>
        <v>#REF!</v>
      </c>
      <c r="G27" s="284"/>
      <c r="H27" s="284"/>
      <c r="I27" s="282" t="s">
        <v>386</v>
      </c>
      <c r="J27" s="286" t="e">
        <f>Htrang!#REF!</f>
        <v>#REF!</v>
      </c>
      <c r="K27" s="261"/>
    </row>
    <row r="28" spans="2:11" s="265" customFormat="1" ht="30">
      <c r="B28" s="262">
        <v>11</v>
      </c>
      <c r="C28" s="262" t="s">
        <v>328</v>
      </c>
      <c r="D28" s="192" t="s">
        <v>511</v>
      </c>
      <c r="E28" s="267" t="e">
        <f>Htrang!#REF!</f>
        <v>#REF!</v>
      </c>
      <c r="F28" s="263">
        <f>SUM(F29:F33)</f>
        <v>4593.700000000001</v>
      </c>
      <c r="G28" s="263"/>
      <c r="H28" s="263"/>
      <c r="I28" s="192" t="s">
        <v>511</v>
      </c>
      <c r="J28" s="268" t="e">
        <f>F28/E28*100</f>
        <v>#REF!</v>
      </c>
      <c r="K28" s="261"/>
    </row>
    <row r="29" spans="2:11" ht="14.25">
      <c r="B29" s="281"/>
      <c r="C29" s="281" t="s">
        <v>413</v>
      </c>
      <c r="D29" s="282" t="s">
        <v>406</v>
      </c>
      <c r="E29" s="283">
        <v>1742</v>
      </c>
      <c r="F29" s="284">
        <f>E29*J29/100</f>
        <v>1045.2</v>
      </c>
      <c r="G29" s="284"/>
      <c r="H29" s="284"/>
      <c r="I29" s="282" t="s">
        <v>406</v>
      </c>
      <c r="J29" s="286">
        <v>60</v>
      </c>
      <c r="K29" s="261" t="s">
        <v>424</v>
      </c>
    </row>
    <row r="30" spans="2:11" ht="14.25">
      <c r="B30" s="281"/>
      <c r="C30" s="281" t="s">
        <v>414</v>
      </c>
      <c r="D30" s="282" t="s">
        <v>406</v>
      </c>
      <c r="E30" s="283">
        <v>2637</v>
      </c>
      <c r="F30" s="284">
        <f>E30*J30/100</f>
        <v>1582.2</v>
      </c>
      <c r="G30" s="284"/>
      <c r="H30" s="284"/>
      <c r="I30" s="282" t="s">
        <v>406</v>
      </c>
      <c r="J30" s="286">
        <v>60</v>
      </c>
      <c r="K30" s="261" t="s">
        <v>425</v>
      </c>
    </row>
    <row r="31" spans="2:11" ht="14.25">
      <c r="B31" s="281"/>
      <c r="C31" s="281" t="s">
        <v>421</v>
      </c>
      <c r="D31" s="282" t="s">
        <v>385</v>
      </c>
      <c r="E31" s="283">
        <v>1366</v>
      </c>
      <c r="F31" s="284">
        <f>E31*J31/100</f>
        <v>956.2</v>
      </c>
      <c r="G31" s="284"/>
      <c r="H31" s="284"/>
      <c r="I31" s="282" t="s">
        <v>385</v>
      </c>
      <c r="J31" s="286">
        <v>70</v>
      </c>
      <c r="K31" s="261"/>
    </row>
    <row r="32" spans="2:11" ht="14.25">
      <c r="B32" s="281"/>
      <c r="C32" s="281" t="s">
        <v>422</v>
      </c>
      <c r="D32" s="282" t="s">
        <v>385</v>
      </c>
      <c r="E32" s="283">
        <v>1443</v>
      </c>
      <c r="F32" s="284">
        <f>E32*J32/100</f>
        <v>1010.1</v>
      </c>
      <c r="G32" s="284"/>
      <c r="H32" s="284"/>
      <c r="I32" s="282" t="s">
        <v>385</v>
      </c>
      <c r="J32" s="286">
        <v>70</v>
      </c>
      <c r="K32" s="261"/>
    </row>
    <row r="33" spans="2:11" ht="14.25">
      <c r="B33" s="281"/>
      <c r="C33" s="281" t="s">
        <v>423</v>
      </c>
      <c r="D33" s="282" t="s">
        <v>386</v>
      </c>
      <c r="E33" s="283" t="e">
        <f>E28-E29-E30-E31-E32</f>
        <v>#REF!</v>
      </c>
      <c r="F33" s="284"/>
      <c r="G33" s="284"/>
      <c r="H33" s="284"/>
      <c r="I33" s="282" t="s">
        <v>386</v>
      </c>
      <c r="J33" s="286"/>
      <c r="K33" s="261"/>
    </row>
    <row r="34" spans="2:11" s="265" customFormat="1" ht="30">
      <c r="B34" s="262">
        <v>12</v>
      </c>
      <c r="C34" s="262" t="s">
        <v>329</v>
      </c>
      <c r="D34" s="192" t="s">
        <v>491</v>
      </c>
      <c r="E34" s="267" t="e">
        <f>Htrang!#REF!</f>
        <v>#REF!</v>
      </c>
      <c r="F34" s="263">
        <v>2790</v>
      </c>
      <c r="G34" s="263"/>
      <c r="H34" s="263"/>
      <c r="I34" s="192" t="s">
        <v>491</v>
      </c>
      <c r="J34" s="268" t="e">
        <f>F34/E34*100</f>
        <v>#REF!</v>
      </c>
      <c r="K34" s="261" t="s">
        <v>366</v>
      </c>
    </row>
    <row r="35" spans="2:11" s="265" customFormat="1" ht="15">
      <c r="B35" s="262">
        <v>13</v>
      </c>
      <c r="C35" s="262" t="s">
        <v>330</v>
      </c>
      <c r="D35" s="192" t="s">
        <v>492</v>
      </c>
      <c r="E35" s="267" t="e">
        <f>Htrang!#REF!</f>
        <v>#REF!</v>
      </c>
      <c r="F35" s="263">
        <v>730</v>
      </c>
      <c r="G35" s="263"/>
      <c r="H35" s="263"/>
      <c r="I35" s="192" t="s">
        <v>492</v>
      </c>
      <c r="J35" s="268">
        <v>46.5</v>
      </c>
      <c r="K35" s="261" t="s">
        <v>409</v>
      </c>
    </row>
    <row r="36" spans="2:11" ht="14.25">
      <c r="B36" s="281"/>
      <c r="C36" s="281"/>
      <c r="D36" s="282" t="s">
        <v>408</v>
      </c>
      <c r="E36" s="283">
        <v>1211</v>
      </c>
      <c r="F36" s="284"/>
      <c r="G36" s="284"/>
      <c r="H36" s="284"/>
      <c r="I36" s="282" t="s">
        <v>408</v>
      </c>
      <c r="J36" s="286"/>
      <c r="K36" s="261"/>
    </row>
    <row r="37" spans="2:11" ht="14.25">
      <c r="B37" s="281"/>
      <c r="C37" s="281"/>
      <c r="D37" s="282" t="s">
        <v>411</v>
      </c>
      <c r="E37" s="283" t="e">
        <f>E35-E36</f>
        <v>#REF!</v>
      </c>
      <c r="F37" s="284"/>
      <c r="G37" s="284"/>
      <c r="H37" s="284"/>
      <c r="I37" s="282" t="s">
        <v>411</v>
      </c>
      <c r="J37" s="286"/>
      <c r="K37" s="261"/>
    </row>
    <row r="38" spans="2:11" s="265" customFormat="1" ht="57">
      <c r="B38" s="262">
        <v>14</v>
      </c>
      <c r="C38" s="262" t="s">
        <v>331</v>
      </c>
      <c r="D38" s="192" t="s">
        <v>493</v>
      </c>
      <c r="E38" s="267">
        <f>Htrang!F43</f>
        <v>9542</v>
      </c>
      <c r="F38" s="263">
        <f>Htrang!G43</f>
        <v>0</v>
      </c>
      <c r="G38" s="263"/>
      <c r="H38" s="263"/>
      <c r="I38" s="192" t="s">
        <v>493</v>
      </c>
      <c r="J38" s="268">
        <f>F38/E38*100</f>
        <v>0</v>
      </c>
      <c r="K38" s="261" t="s">
        <v>396</v>
      </c>
    </row>
    <row r="39" spans="2:11" s="265" customFormat="1" ht="42.75">
      <c r="B39" s="262">
        <v>15</v>
      </c>
      <c r="C39" s="262" t="s">
        <v>332</v>
      </c>
      <c r="D39" s="192" t="s">
        <v>493</v>
      </c>
      <c r="E39" s="267" t="e">
        <f>Htrang!#REF!</f>
        <v>#REF!</v>
      </c>
      <c r="F39" s="263" t="e">
        <f>Htrang!#REF!</f>
        <v>#REF!</v>
      </c>
      <c r="G39" s="263"/>
      <c r="H39" s="263"/>
      <c r="I39" s="192" t="s">
        <v>493</v>
      </c>
      <c r="J39" s="268" t="e">
        <f>F39/E39*100</f>
        <v>#REF!</v>
      </c>
      <c r="K39" s="261" t="s">
        <v>397</v>
      </c>
    </row>
    <row r="40" spans="2:11" s="265" customFormat="1" ht="15">
      <c r="B40" s="262">
        <v>16</v>
      </c>
      <c r="C40" s="262" t="s">
        <v>333</v>
      </c>
      <c r="D40" s="192" t="s">
        <v>462</v>
      </c>
      <c r="E40" s="267">
        <f>Htrang!F58</f>
        <v>0</v>
      </c>
      <c r="F40" s="263">
        <f>E40*J40/100</f>
        <v>0</v>
      </c>
      <c r="G40" s="263"/>
      <c r="H40" s="263"/>
      <c r="I40" s="192" t="s">
        <v>462</v>
      </c>
      <c r="J40" s="268">
        <v>40</v>
      </c>
      <c r="K40" s="261" t="s">
        <v>407</v>
      </c>
    </row>
    <row r="41" spans="2:11" s="265" customFormat="1" ht="15">
      <c r="B41" s="262">
        <v>17</v>
      </c>
      <c r="C41" s="262" t="s">
        <v>334</v>
      </c>
      <c r="D41" s="192" t="s">
        <v>494</v>
      </c>
      <c r="E41" s="267" t="e">
        <f>Htrang!#REF!</f>
        <v>#REF!</v>
      </c>
      <c r="F41" s="263" t="e">
        <f>E41*J41/100</f>
        <v>#REF!</v>
      </c>
      <c r="G41" s="263"/>
      <c r="H41" s="263"/>
      <c r="I41" s="192" t="s">
        <v>494</v>
      </c>
      <c r="J41" s="268">
        <v>40</v>
      </c>
      <c r="K41" s="261" t="s">
        <v>407</v>
      </c>
    </row>
    <row r="42" spans="2:11" s="265" customFormat="1" ht="15">
      <c r="B42" s="262">
        <v>18</v>
      </c>
      <c r="C42" s="262" t="s">
        <v>335</v>
      </c>
      <c r="D42" s="192" t="s">
        <v>495</v>
      </c>
      <c r="E42" s="267" t="e">
        <f>Htrang!#REF!</f>
        <v>#REF!</v>
      </c>
      <c r="F42" s="263" t="e">
        <f>E42*J42/100</f>
        <v>#REF!</v>
      </c>
      <c r="G42" s="263"/>
      <c r="H42" s="263"/>
      <c r="I42" s="192" t="s">
        <v>495</v>
      </c>
      <c r="J42" s="268">
        <v>40</v>
      </c>
      <c r="K42" s="261" t="s">
        <v>407</v>
      </c>
    </row>
    <row r="43" spans="2:11" s="265" customFormat="1" ht="30">
      <c r="B43" s="262">
        <v>19</v>
      </c>
      <c r="C43" s="262" t="s">
        <v>336</v>
      </c>
      <c r="D43" s="192" t="s">
        <v>496</v>
      </c>
      <c r="E43" s="267" t="e">
        <f>Htrang!#REF!</f>
        <v>#REF!</v>
      </c>
      <c r="F43" s="263" t="e">
        <f>E43*J43/100</f>
        <v>#REF!</v>
      </c>
      <c r="G43" s="263"/>
      <c r="H43" s="263"/>
      <c r="I43" s="192" t="s">
        <v>496</v>
      </c>
      <c r="J43" s="268">
        <v>39</v>
      </c>
      <c r="K43" s="261" t="s">
        <v>418</v>
      </c>
    </row>
    <row r="44" spans="2:11" s="265" customFormat="1" ht="30">
      <c r="B44" s="262">
        <v>20</v>
      </c>
      <c r="C44" s="262" t="s">
        <v>337</v>
      </c>
      <c r="D44" s="192" t="s">
        <v>496</v>
      </c>
      <c r="E44" s="267">
        <f>Htrang!F61</f>
        <v>17041</v>
      </c>
      <c r="F44" s="263">
        <f>SUM(F45:F46)</f>
        <v>9197.392</v>
      </c>
      <c r="G44" s="263"/>
      <c r="H44" s="263"/>
      <c r="I44" s="192" t="s">
        <v>496</v>
      </c>
      <c r="J44" s="268">
        <f>F44/E44*100</f>
        <v>53.97213778534123</v>
      </c>
      <c r="K44" s="261"/>
    </row>
    <row r="45" spans="2:11" ht="14.25">
      <c r="B45" s="281"/>
      <c r="C45" s="281" t="s">
        <v>416</v>
      </c>
      <c r="D45" s="200" t="s">
        <v>415</v>
      </c>
      <c r="E45" s="283">
        <v>6188</v>
      </c>
      <c r="F45" s="284">
        <f>E45*J45/100</f>
        <v>2685.592</v>
      </c>
      <c r="G45" s="284"/>
      <c r="H45" s="284"/>
      <c r="I45" s="200" t="s">
        <v>415</v>
      </c>
      <c r="J45" s="286">
        <v>43.4</v>
      </c>
      <c r="K45" s="261" t="s">
        <v>367</v>
      </c>
    </row>
    <row r="46" spans="2:11" s="310" customFormat="1" ht="28.5">
      <c r="B46" s="304"/>
      <c r="C46" s="304" t="s">
        <v>417</v>
      </c>
      <c r="D46" s="200" t="s">
        <v>513</v>
      </c>
      <c r="E46" s="306">
        <f>E44-E45</f>
        <v>10853</v>
      </c>
      <c r="F46" s="307">
        <f>E46*J46/100</f>
        <v>6511.8</v>
      </c>
      <c r="G46" s="307"/>
      <c r="H46" s="307"/>
      <c r="I46" s="200" t="s">
        <v>513</v>
      </c>
      <c r="J46" s="308">
        <v>60</v>
      </c>
      <c r="K46" s="298"/>
    </row>
    <row r="47" spans="2:11" s="265" customFormat="1" ht="15">
      <c r="B47" s="262">
        <v>21</v>
      </c>
      <c r="C47" s="262" t="s">
        <v>338</v>
      </c>
      <c r="D47" s="192" t="s">
        <v>464</v>
      </c>
      <c r="E47" s="267">
        <f>Htrang!F73</f>
        <v>707</v>
      </c>
      <c r="F47" s="263">
        <f>F48+F49</f>
        <v>5060</v>
      </c>
      <c r="G47" s="263"/>
      <c r="H47" s="263"/>
      <c r="I47" s="192" t="s">
        <v>464</v>
      </c>
      <c r="J47" s="270">
        <f>F47/E47*100</f>
        <v>715.7001414427157</v>
      </c>
      <c r="K47" s="261"/>
    </row>
    <row r="48" spans="2:11" s="310" customFormat="1" ht="14.25">
      <c r="B48" s="304"/>
      <c r="C48" s="304" t="s">
        <v>368</v>
      </c>
      <c r="D48" s="305" t="s">
        <v>465</v>
      </c>
      <c r="E48" s="306" t="e">
        <f>Htrang!#REF!</f>
        <v>#REF!</v>
      </c>
      <c r="F48" s="307">
        <v>3286</v>
      </c>
      <c r="G48" s="307"/>
      <c r="H48" s="307"/>
      <c r="I48" s="305" t="s">
        <v>465</v>
      </c>
      <c r="J48" s="309" t="e">
        <f>F48/E48*100</f>
        <v>#REF!</v>
      </c>
      <c r="K48" s="298" t="s">
        <v>398</v>
      </c>
    </row>
    <row r="49" spans="2:11" ht="14.25">
      <c r="B49" s="281"/>
      <c r="C49" s="281" t="s">
        <v>369</v>
      </c>
      <c r="D49" s="282" t="s">
        <v>462</v>
      </c>
      <c r="E49" s="283" t="e">
        <f>Htrang!#REF!</f>
        <v>#REF!</v>
      </c>
      <c r="F49" s="284">
        <v>1774</v>
      </c>
      <c r="G49" s="284"/>
      <c r="H49" s="284"/>
      <c r="I49" s="282" t="s">
        <v>462</v>
      </c>
      <c r="J49" s="285">
        <v>40.75</v>
      </c>
      <c r="K49" s="323" t="s">
        <v>419</v>
      </c>
    </row>
    <row r="50" spans="2:11" s="265" customFormat="1" ht="15">
      <c r="B50" s="262">
        <v>22</v>
      </c>
      <c r="C50" s="262" t="s">
        <v>339</v>
      </c>
      <c r="D50" s="192" t="s">
        <v>505</v>
      </c>
      <c r="E50" s="267" t="e">
        <f>Htrang!#REF!</f>
        <v>#REF!</v>
      </c>
      <c r="F50" s="263" t="e">
        <f>Htrang!#REF!+589</f>
        <v>#REF!</v>
      </c>
      <c r="G50" s="263"/>
      <c r="H50" s="263"/>
      <c r="I50" s="192" t="s">
        <v>505</v>
      </c>
      <c r="J50" s="268" t="e">
        <f>F50/E50*100</f>
        <v>#REF!</v>
      </c>
      <c r="K50" s="261" t="s">
        <v>399</v>
      </c>
    </row>
    <row r="51" spans="2:11" s="265" customFormat="1" ht="30">
      <c r="B51" s="262">
        <v>23</v>
      </c>
      <c r="C51" s="262" t="s">
        <v>340</v>
      </c>
      <c r="D51" s="192" t="s">
        <v>506</v>
      </c>
      <c r="E51" s="267" t="e">
        <f>Htrang!#REF!</f>
        <v>#REF!</v>
      </c>
      <c r="F51" s="263" t="e">
        <f>E51*J51/100</f>
        <v>#REF!</v>
      </c>
      <c r="G51" s="263"/>
      <c r="H51" s="263"/>
      <c r="I51" s="192" t="s">
        <v>506</v>
      </c>
      <c r="J51" s="268">
        <v>40</v>
      </c>
      <c r="K51" s="261" t="s">
        <v>400</v>
      </c>
    </row>
    <row r="52" spans="2:11" s="297" customFormat="1" ht="28.5">
      <c r="B52" s="290">
        <v>24</v>
      </c>
      <c r="C52" s="290" t="s">
        <v>341</v>
      </c>
      <c r="D52" s="192" t="s">
        <v>465</v>
      </c>
      <c r="E52" s="292" t="e">
        <f>Htrang!#REF!</f>
        <v>#REF!</v>
      </c>
      <c r="F52" s="293" t="e">
        <f>E52*J52/100</f>
        <v>#REF!</v>
      </c>
      <c r="G52" s="293"/>
      <c r="H52" s="293"/>
      <c r="I52" s="192" t="s">
        <v>465</v>
      </c>
      <c r="J52" s="294">
        <v>40</v>
      </c>
      <c r="K52" s="298" t="s">
        <v>401</v>
      </c>
    </row>
    <row r="53" spans="2:11" s="265" customFormat="1" ht="30">
      <c r="B53" s="262">
        <v>25</v>
      </c>
      <c r="C53" s="262" t="s">
        <v>342</v>
      </c>
      <c r="D53" s="192" t="s">
        <v>497</v>
      </c>
      <c r="E53" s="267" t="e">
        <f>Htrang!#REF!</f>
        <v>#REF!</v>
      </c>
      <c r="F53" s="263" t="e">
        <f>E53*J53/100</f>
        <v>#REF!</v>
      </c>
      <c r="G53" s="263"/>
      <c r="H53" s="263"/>
      <c r="I53" s="192" t="s">
        <v>497</v>
      </c>
      <c r="J53" s="268">
        <v>40</v>
      </c>
      <c r="K53" s="261"/>
    </row>
    <row r="54" spans="2:11" s="297" customFormat="1" ht="28.5">
      <c r="B54" s="290">
        <v>26</v>
      </c>
      <c r="C54" s="290" t="s">
        <v>343</v>
      </c>
      <c r="D54" s="291" t="s">
        <v>465</v>
      </c>
      <c r="E54" s="292">
        <f>Htrang!F79</f>
        <v>6730</v>
      </c>
      <c r="F54" s="293">
        <f>E54*J54/100</f>
        <v>2692</v>
      </c>
      <c r="G54" s="293"/>
      <c r="H54" s="293"/>
      <c r="I54" s="291" t="s">
        <v>465</v>
      </c>
      <c r="J54" s="294">
        <v>40</v>
      </c>
      <c r="K54" s="298" t="s">
        <v>402</v>
      </c>
    </row>
    <row r="55" spans="2:11" s="297" customFormat="1" ht="28.5">
      <c r="B55" s="290">
        <v>27</v>
      </c>
      <c r="C55" s="290" t="s">
        <v>344</v>
      </c>
      <c r="D55" s="291" t="s">
        <v>320</v>
      </c>
      <c r="E55" s="292" t="e">
        <f>Htrang!#REF!</f>
        <v>#REF!</v>
      </c>
      <c r="F55" s="293" t="e">
        <f>E55*J55/100</f>
        <v>#REF!</v>
      </c>
      <c r="G55" s="293"/>
      <c r="H55" s="293"/>
      <c r="I55" s="291" t="s">
        <v>320</v>
      </c>
      <c r="J55" s="294">
        <v>40</v>
      </c>
      <c r="K55" s="298" t="s">
        <v>403</v>
      </c>
    </row>
    <row r="56" spans="2:11" s="265" customFormat="1" ht="15">
      <c r="B56" s="262">
        <v>28</v>
      </c>
      <c r="C56" s="262" t="s">
        <v>345</v>
      </c>
      <c r="D56" s="192" t="s">
        <v>466</v>
      </c>
      <c r="E56" s="267">
        <f>Htrang!F85</f>
        <v>10722</v>
      </c>
      <c r="F56" s="263">
        <v>280</v>
      </c>
      <c r="G56" s="263"/>
      <c r="H56" s="263"/>
      <c r="I56" s="192" t="s">
        <v>466</v>
      </c>
      <c r="J56" s="268">
        <f>F56/E56*100</f>
        <v>2.6114530871106134</v>
      </c>
      <c r="K56" s="261"/>
    </row>
    <row r="57" spans="2:11" s="265" customFormat="1" ht="15">
      <c r="B57" s="262">
        <v>29</v>
      </c>
      <c r="C57" s="262" t="s">
        <v>346</v>
      </c>
      <c r="D57" s="192" t="s">
        <v>467</v>
      </c>
      <c r="E57" s="267">
        <f>Htrang!F88</f>
        <v>7155</v>
      </c>
      <c r="F57" s="263">
        <v>1388</v>
      </c>
      <c r="G57" s="263"/>
      <c r="H57" s="263"/>
      <c r="I57" s="192" t="s">
        <v>467</v>
      </c>
      <c r="J57" s="268">
        <f>F57/E57*100</f>
        <v>19.399021663172604</v>
      </c>
      <c r="K57" s="261"/>
    </row>
    <row r="58" spans="2:11" s="265" customFormat="1" ht="15">
      <c r="B58" s="262">
        <v>30</v>
      </c>
      <c r="C58" s="262" t="s">
        <v>347</v>
      </c>
      <c r="D58" s="192" t="s">
        <v>498</v>
      </c>
      <c r="E58" s="267">
        <f>Htrang!F92</f>
        <v>13660</v>
      </c>
      <c r="F58" s="263">
        <v>2842</v>
      </c>
      <c r="G58" s="263"/>
      <c r="H58" s="263"/>
      <c r="I58" s="192" t="s">
        <v>498</v>
      </c>
      <c r="J58" s="268">
        <f>F58/E58*100</f>
        <v>20.805270863836018</v>
      </c>
      <c r="K58" s="261"/>
    </row>
    <row r="59" spans="2:11" s="265" customFormat="1" ht="15">
      <c r="B59" s="262">
        <v>31</v>
      </c>
      <c r="C59" s="262" t="s">
        <v>348</v>
      </c>
      <c r="D59" s="192" t="s">
        <v>499</v>
      </c>
      <c r="E59" s="267">
        <f>Htrang!F96</f>
        <v>14164</v>
      </c>
      <c r="F59" s="263"/>
      <c r="G59" s="263"/>
      <c r="H59" s="263"/>
      <c r="I59" s="192" t="s">
        <v>499</v>
      </c>
      <c r="J59" s="268"/>
      <c r="K59" s="261"/>
    </row>
    <row r="60" spans="2:11" ht="15">
      <c r="B60" s="281"/>
      <c r="C60" s="281"/>
      <c r="D60" s="200" t="s">
        <v>468</v>
      </c>
      <c r="E60" s="325">
        <v>35000</v>
      </c>
      <c r="F60" s="284"/>
      <c r="G60" s="284"/>
      <c r="H60" s="284"/>
      <c r="I60" s="192" t="s">
        <v>500</v>
      </c>
      <c r="J60" s="286"/>
      <c r="K60" s="261"/>
    </row>
    <row r="61" spans="2:11" ht="14.25">
      <c r="B61" s="281"/>
      <c r="C61" s="281"/>
      <c r="D61" s="282" t="s">
        <v>469</v>
      </c>
      <c r="E61" s="325">
        <f>E59-E60</f>
        <v>-20836</v>
      </c>
      <c r="F61" s="284"/>
      <c r="G61" s="284"/>
      <c r="H61" s="284"/>
      <c r="I61" s="282" t="s">
        <v>469</v>
      </c>
      <c r="J61" s="286"/>
      <c r="K61" s="261"/>
    </row>
    <row r="62" spans="2:11" s="265" customFormat="1" ht="15">
      <c r="B62" s="262">
        <v>32</v>
      </c>
      <c r="C62" s="262" t="s">
        <v>377</v>
      </c>
      <c r="D62" s="262" t="s">
        <v>378</v>
      </c>
      <c r="E62" s="267">
        <f>Htrang!F100</f>
        <v>18562</v>
      </c>
      <c r="F62" s="263"/>
      <c r="G62" s="263"/>
      <c r="H62" s="263"/>
      <c r="I62" s="262" t="s">
        <v>378</v>
      </c>
      <c r="J62" s="268"/>
      <c r="K62" s="269"/>
    </row>
    <row r="63" spans="2:11" s="265" customFormat="1" ht="15">
      <c r="B63" s="281">
        <v>33</v>
      </c>
      <c r="C63" s="262" t="s">
        <v>404</v>
      </c>
      <c r="D63" s="262" t="s">
        <v>359</v>
      </c>
      <c r="E63" s="267" t="e">
        <f>E64-E6-E7-E8-E9-E10-E13-E14-E18-E19-E20-E28-E34-E35-E38-E39-E40-E41-E42-E43-E44-E47-E50-E51-E52-E53-E54-E55-E56-E57-E58-E59-E62</f>
        <v>#REF!</v>
      </c>
      <c r="F63" s="263"/>
      <c r="G63" s="263"/>
      <c r="H63" s="263"/>
      <c r="I63" s="262" t="s">
        <v>359</v>
      </c>
      <c r="J63" s="268"/>
      <c r="K63" s="261"/>
    </row>
    <row r="64" spans="2:11" s="265" customFormat="1" ht="15">
      <c r="B64" s="262"/>
      <c r="C64" s="281"/>
      <c r="D64" s="262" t="s">
        <v>349</v>
      </c>
      <c r="E64" s="267">
        <f>Htrang!F113</f>
        <v>488140</v>
      </c>
      <c r="F64" s="263" t="e">
        <f>F6+F7+F8+F9+F10+F13+F14+F18+F19+F20+F28+F34+F35+F38+F39+F40+F41+F42+F43+F44+F47+F50+F51+F52+F53+F54+F55+F56+F57+F58+F59+F62+F63</f>
        <v>#REF!</v>
      </c>
      <c r="G64" s="263"/>
      <c r="H64" s="263"/>
      <c r="I64" s="262" t="s">
        <v>349</v>
      </c>
      <c r="J64" s="268" t="e">
        <f>F64/E64*100</f>
        <v>#REF!</v>
      </c>
      <c r="K64" s="261"/>
    </row>
    <row r="65" spans="2:11" ht="29.25" customHeight="1">
      <c r="B65" s="279"/>
      <c r="C65" s="315"/>
      <c r="D65" s="281"/>
      <c r="E65" s="266" t="s">
        <v>306</v>
      </c>
      <c r="F65" s="266" t="s">
        <v>307</v>
      </c>
      <c r="G65" s="266"/>
      <c r="H65" s="266"/>
      <c r="I65" s="266"/>
      <c r="J65" s="266" t="s">
        <v>43</v>
      </c>
      <c r="K65" s="266" t="s">
        <v>391</v>
      </c>
    </row>
  </sheetData>
  <mergeCells count="1">
    <mergeCell ref="D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60"/>
  <sheetViews>
    <sheetView workbookViewId="0" topLeftCell="A1">
      <selection activeCell="H52" sqref="H52"/>
    </sheetView>
  </sheetViews>
  <sheetFormatPr defaultColWidth="9.140625" defaultRowHeight="12.75"/>
  <cols>
    <col min="1" max="1" width="5.421875" style="260" customWidth="1"/>
    <col min="2" max="2" width="6.140625" style="260" customWidth="1"/>
    <col min="3" max="3" width="9.8515625" style="276" customWidth="1"/>
    <col min="4" max="4" width="38.57421875" style="276" customWidth="1"/>
    <col min="5" max="5" width="21.7109375" style="276" customWidth="1"/>
    <col min="6" max="6" width="12.140625" style="260" customWidth="1"/>
    <col min="7" max="7" width="10.57421875" style="260" customWidth="1"/>
    <col min="8" max="8" width="11.8515625" style="260" customWidth="1"/>
    <col min="9" max="9" width="9.8515625" style="260" customWidth="1"/>
    <col min="10" max="10" width="11.421875" style="260" customWidth="1"/>
    <col min="11" max="11" width="11.7109375" style="260" customWidth="1"/>
    <col min="12" max="12" width="11.57421875" style="260" customWidth="1"/>
    <col min="13" max="13" width="8.00390625" style="260" customWidth="1"/>
    <col min="14" max="14" width="12.421875" style="260" customWidth="1"/>
    <col min="15" max="15" width="8.57421875" style="260" customWidth="1"/>
    <col min="16" max="16" width="7.8515625" style="260" bestFit="1" customWidth="1"/>
    <col min="17" max="17" width="6.7109375" style="260" customWidth="1"/>
    <col min="18" max="18" width="7.140625" style="260" bestFit="1" customWidth="1"/>
    <col min="19" max="19" width="6.7109375" style="260" customWidth="1"/>
    <col min="20" max="20" width="8.8515625" style="260" customWidth="1"/>
    <col min="21" max="21" width="10.00390625" style="260" customWidth="1"/>
    <col min="22" max="22" width="8.28125" style="260" customWidth="1"/>
    <col min="23" max="23" width="7.421875" style="260" customWidth="1"/>
    <col min="24" max="24" width="9.140625" style="260" customWidth="1"/>
    <col min="25" max="25" width="14.7109375" style="260" customWidth="1"/>
    <col min="26" max="26" width="18.7109375" style="260" customWidth="1"/>
    <col min="27" max="27" width="13.00390625" style="260" customWidth="1"/>
    <col min="28" max="28" width="8.8515625" style="260" customWidth="1"/>
    <col min="29" max="29" width="9.7109375" style="260" customWidth="1"/>
    <col min="30" max="16384" width="9.140625" style="260" customWidth="1"/>
  </cols>
  <sheetData>
    <row r="1" spans="4:14" ht="20.25">
      <c r="D1" s="421" t="s">
        <v>361</v>
      </c>
      <c r="E1" s="421"/>
      <c r="F1" s="421"/>
      <c r="G1" s="421"/>
      <c r="H1" s="266"/>
      <c r="I1" s="266"/>
      <c r="J1" s="266"/>
      <c r="K1" s="266"/>
      <c r="L1" s="266"/>
      <c r="M1" s="266"/>
      <c r="N1" s="266"/>
    </row>
    <row r="2" spans="14:16" ht="14.25">
      <c r="N2" s="425"/>
      <c r="O2" s="425"/>
      <c r="P2" s="425"/>
    </row>
    <row r="3" spans="2:28" s="265" customFormat="1" ht="30" customHeight="1">
      <c r="B3" s="266" t="s">
        <v>6</v>
      </c>
      <c r="C3" s="266" t="s">
        <v>28</v>
      </c>
      <c r="D3" s="266" t="s">
        <v>29</v>
      </c>
      <c r="E3" s="266" t="s">
        <v>576</v>
      </c>
      <c r="F3" s="266" t="s">
        <v>306</v>
      </c>
      <c r="G3" s="266" t="s">
        <v>307</v>
      </c>
      <c r="H3" s="266" t="s">
        <v>43</v>
      </c>
      <c r="I3" s="266" t="s">
        <v>387</v>
      </c>
      <c r="J3" s="266" t="s">
        <v>44</v>
      </c>
      <c r="K3" s="266" t="s">
        <v>46</v>
      </c>
      <c r="L3" s="266" t="s">
        <v>363</v>
      </c>
      <c r="M3" s="266" t="s">
        <v>308</v>
      </c>
      <c r="N3" s="277" t="s">
        <v>370</v>
      </c>
      <c r="O3" s="275" t="s">
        <v>0</v>
      </c>
      <c r="P3" s="275" t="s">
        <v>1</v>
      </c>
      <c r="Q3" s="275" t="s">
        <v>2</v>
      </c>
      <c r="R3" s="275" t="s">
        <v>3</v>
      </c>
      <c r="S3" s="422" t="s">
        <v>31</v>
      </c>
      <c r="T3" s="422"/>
      <c r="U3" s="277" t="s">
        <v>375</v>
      </c>
      <c r="V3" s="423" t="s">
        <v>30</v>
      </c>
      <c r="W3" s="424"/>
      <c r="X3" s="277" t="s">
        <v>371</v>
      </c>
      <c r="Y3" s="275" t="s">
        <v>5</v>
      </c>
      <c r="Z3" s="275" t="s">
        <v>4</v>
      </c>
      <c r="AA3" s="277"/>
      <c r="AB3" s="266"/>
    </row>
    <row r="4" spans="2:28" s="265" customFormat="1" ht="30" customHeight="1">
      <c r="B4" s="262">
        <v>1</v>
      </c>
      <c r="C4" s="262" t="s">
        <v>569</v>
      </c>
      <c r="D4" s="266"/>
      <c r="E4" s="355"/>
      <c r="F4" s="267" t="e">
        <f>Htrang!#REF!</f>
        <v>#REF!</v>
      </c>
      <c r="G4" s="355"/>
      <c r="H4" s="266"/>
      <c r="I4" s="266"/>
      <c r="J4" s="266"/>
      <c r="K4" s="355"/>
      <c r="L4" s="355"/>
      <c r="M4" s="355"/>
      <c r="N4" s="277"/>
      <c r="O4" s="275"/>
      <c r="P4" s="275"/>
      <c r="Q4" s="275"/>
      <c r="R4" s="275"/>
      <c r="S4" s="275"/>
      <c r="T4" s="275"/>
      <c r="U4" s="277"/>
      <c r="V4" s="349"/>
      <c r="W4" s="350"/>
      <c r="X4" s="277"/>
      <c r="Y4" s="275"/>
      <c r="Z4" s="275"/>
      <c r="AA4" s="277"/>
      <c r="AB4" s="266"/>
    </row>
    <row r="5" spans="2:28" s="265" customFormat="1" ht="15">
      <c r="B5" s="262">
        <v>2</v>
      </c>
      <c r="C5" s="262" t="s">
        <v>350</v>
      </c>
      <c r="D5" s="192"/>
      <c r="E5" s="282"/>
      <c r="F5" s="267" t="e">
        <f>Htrang!#REF!</f>
        <v>#REF!</v>
      </c>
      <c r="G5" s="263" t="e">
        <f>F5*H5/100</f>
        <v>#REF!</v>
      </c>
      <c r="H5" s="268">
        <v>45</v>
      </c>
      <c r="I5" s="269" t="e">
        <f aca="true" t="shared" si="0" ref="I5:I19">K5/G5</f>
        <v>#REF!</v>
      </c>
      <c r="J5" s="270" t="e">
        <f aca="true" t="shared" si="1" ref="J5:J30">K5/F5</f>
        <v>#REF!</v>
      </c>
      <c r="K5" s="263" t="e">
        <f>G5*16</f>
        <v>#REF!</v>
      </c>
      <c r="L5" s="263"/>
      <c r="M5" s="263"/>
      <c r="N5" s="275">
        <v>0.002</v>
      </c>
      <c r="O5" s="271" t="e">
        <f>K5*N5</f>
        <v>#REF!</v>
      </c>
      <c r="P5" s="271" t="e">
        <f aca="true" t="shared" si="2" ref="P5:P12">O5*0.25</f>
        <v>#REF!</v>
      </c>
      <c r="Q5" s="271" t="e">
        <f>O5+P5</f>
        <v>#REF!</v>
      </c>
      <c r="R5" s="271" t="e">
        <f>P5+O5*1.52</f>
        <v>#REF!</v>
      </c>
      <c r="S5" s="272" t="e">
        <f>Q5</f>
        <v>#REF!</v>
      </c>
      <c r="T5" s="273" t="e">
        <f aca="true" t="shared" si="3" ref="T5:T12">S5*1000/24/60/60</f>
        <v>#REF!</v>
      </c>
      <c r="U5" s="275">
        <v>0.01</v>
      </c>
      <c r="V5" s="271" t="e">
        <f>U5*K5</f>
        <v>#REF!</v>
      </c>
      <c r="W5" s="274" t="e">
        <f aca="true" t="shared" si="4" ref="W5:W12">V5/0.42/1000</f>
        <v>#REF!</v>
      </c>
      <c r="X5" s="264">
        <v>0.025</v>
      </c>
      <c r="Y5" s="272" t="e">
        <f>K5*0.025*0.5</f>
        <v>#REF!</v>
      </c>
      <c r="Z5" s="272" t="e">
        <f aca="true" t="shared" si="5" ref="Z5:Z12">Y5/0.9</f>
        <v>#REF!</v>
      </c>
      <c r="AA5" s="266"/>
      <c r="AB5" s="272"/>
    </row>
    <row r="6" spans="2:28" s="265" customFormat="1" ht="20.25" customHeight="1">
      <c r="B6" s="262">
        <v>3</v>
      </c>
      <c r="C6" s="262" t="s">
        <v>351</v>
      </c>
      <c r="D6" s="192"/>
      <c r="E6" s="282"/>
      <c r="F6" s="267">
        <f>Htrang!F12</f>
        <v>1857</v>
      </c>
      <c r="G6" s="263">
        <v>1163</v>
      </c>
      <c r="H6" s="268">
        <f>G6/F6*100</f>
        <v>62.6278944534195</v>
      </c>
      <c r="I6" s="269">
        <f t="shared" si="0"/>
        <v>20.663800515907138</v>
      </c>
      <c r="J6" s="270">
        <f t="shared" si="1"/>
        <v>12.941303177167475</v>
      </c>
      <c r="K6" s="263">
        <v>24032</v>
      </c>
      <c r="L6" s="263">
        <f>K6*0.5</f>
        <v>12016</v>
      </c>
      <c r="M6" s="263">
        <f>L6*0.7/30</f>
        <v>280.3733333333333</v>
      </c>
      <c r="N6" s="275" t="s">
        <v>373</v>
      </c>
      <c r="O6" s="263">
        <f>(K6-L6)*0.002+M6*0.2</f>
        <v>80.10666666666665</v>
      </c>
      <c r="P6" s="271">
        <f t="shared" si="2"/>
        <v>20.026666666666664</v>
      </c>
      <c r="Q6" s="271">
        <f>O6+P6</f>
        <v>100.13333333333333</v>
      </c>
      <c r="R6" s="271">
        <f>P6+O6*1.52</f>
        <v>141.78879999999998</v>
      </c>
      <c r="S6" s="272">
        <f>Q6</f>
        <v>100.13333333333333</v>
      </c>
      <c r="T6" s="273">
        <f t="shared" si="3"/>
        <v>1.1589506172839503</v>
      </c>
      <c r="U6" s="263" t="s">
        <v>372</v>
      </c>
      <c r="V6" s="263">
        <f>(K6-L6)*0.01+M6*1.3</f>
        <v>484.64533333333327</v>
      </c>
      <c r="W6" s="274">
        <f t="shared" si="4"/>
        <v>1.1539174603174602</v>
      </c>
      <c r="X6" s="263" t="s">
        <v>374</v>
      </c>
      <c r="Y6" s="263">
        <f>(K6-L6)*0.025*0.5+M6/4*4*0.7</f>
        <v>346.4613333333333</v>
      </c>
      <c r="Z6" s="272">
        <f t="shared" si="5"/>
        <v>384.95703703703697</v>
      </c>
      <c r="AA6" s="263"/>
      <c r="AB6" s="263"/>
    </row>
    <row r="7" spans="2:28" s="265" customFormat="1" ht="15">
      <c r="B7" s="262">
        <v>4</v>
      </c>
      <c r="C7" s="262" t="s">
        <v>352</v>
      </c>
      <c r="D7" s="192"/>
      <c r="E7" s="282"/>
      <c r="F7" s="267" t="e">
        <f>Htrang!#REF!</f>
        <v>#REF!</v>
      </c>
      <c r="G7" s="263" t="e">
        <f>F7*H7/100</f>
        <v>#REF!</v>
      </c>
      <c r="H7" s="268">
        <v>40</v>
      </c>
      <c r="I7" s="269" t="e">
        <f t="shared" si="0"/>
        <v>#REF!</v>
      </c>
      <c r="J7" s="270" t="e">
        <f t="shared" si="1"/>
        <v>#REF!</v>
      </c>
      <c r="K7" s="263" t="e">
        <f>G7*3+1277*2+1360*42+1360*37+1459*32</f>
        <v>#REF!</v>
      </c>
      <c r="L7" s="263"/>
      <c r="M7" s="263"/>
      <c r="N7" s="275">
        <v>0.002</v>
      </c>
      <c r="O7" s="271" t="e">
        <f>K7*N7</f>
        <v>#REF!</v>
      </c>
      <c r="P7" s="271" t="e">
        <f t="shared" si="2"/>
        <v>#REF!</v>
      </c>
      <c r="Q7" s="271" t="e">
        <f>O7+P7</f>
        <v>#REF!</v>
      </c>
      <c r="R7" s="271" t="e">
        <f>P7+O7*1.52</f>
        <v>#REF!</v>
      </c>
      <c r="S7" s="272" t="e">
        <f>Q7</f>
        <v>#REF!</v>
      </c>
      <c r="T7" s="273" t="e">
        <f t="shared" si="3"/>
        <v>#REF!</v>
      </c>
      <c r="U7" s="275">
        <v>0.01</v>
      </c>
      <c r="V7" s="271" t="e">
        <f>U7*K7</f>
        <v>#REF!</v>
      </c>
      <c r="W7" s="274" t="e">
        <f t="shared" si="4"/>
        <v>#REF!</v>
      </c>
      <c r="X7" s="264">
        <v>0.025</v>
      </c>
      <c r="Y7" s="272" t="e">
        <f>K7*0.025*0.5</f>
        <v>#REF!</v>
      </c>
      <c r="Z7" s="272" t="e">
        <f t="shared" si="5"/>
        <v>#REF!</v>
      </c>
      <c r="AA7" s="263"/>
      <c r="AB7" s="263"/>
    </row>
    <row r="8" spans="2:28" s="265" customFormat="1" ht="15">
      <c r="B8" s="262">
        <v>5</v>
      </c>
      <c r="C8" s="262" t="s">
        <v>353</v>
      </c>
      <c r="D8" s="192"/>
      <c r="E8" s="282"/>
      <c r="F8" s="267">
        <f>Htrang!F14</f>
        <v>2921</v>
      </c>
      <c r="G8" s="263">
        <v>2674</v>
      </c>
      <c r="H8" s="268">
        <f>G8/F8*100</f>
        <v>91.54399178363573</v>
      </c>
      <c r="I8" s="269">
        <f t="shared" si="0"/>
        <v>26.49775617053104</v>
      </c>
      <c r="J8" s="270">
        <f t="shared" si="1"/>
        <v>24.257103731598768</v>
      </c>
      <c r="K8" s="263">
        <v>70855</v>
      </c>
      <c r="L8" s="263"/>
      <c r="M8" s="263">
        <f aca="true" t="shared" si="6" ref="M8:M13">L8*0.7/30</f>
        <v>0</v>
      </c>
      <c r="N8" s="275">
        <v>0.002</v>
      </c>
      <c r="O8" s="271">
        <f>K8*N8</f>
        <v>141.71</v>
      </c>
      <c r="P8" s="271">
        <f t="shared" si="2"/>
        <v>35.4275</v>
      </c>
      <c r="Q8" s="271">
        <f>O8+P8</f>
        <v>177.13750000000002</v>
      </c>
      <c r="R8" s="271">
        <f>P8+O8*1.52</f>
        <v>250.82670000000002</v>
      </c>
      <c r="S8" s="272">
        <f>Q8</f>
        <v>177.13750000000002</v>
      </c>
      <c r="T8" s="273">
        <f t="shared" si="3"/>
        <v>2.0502025462962967</v>
      </c>
      <c r="U8" s="275">
        <v>0.01</v>
      </c>
      <c r="V8" s="271">
        <f>U8*K8</f>
        <v>708.5500000000001</v>
      </c>
      <c r="W8" s="274">
        <f t="shared" si="4"/>
        <v>1.68702380952381</v>
      </c>
      <c r="X8" s="264">
        <v>0.025</v>
      </c>
      <c r="Y8" s="272">
        <f>K8*0.025*0.5</f>
        <v>885.6875</v>
      </c>
      <c r="Z8" s="272">
        <f t="shared" si="5"/>
        <v>984.0972222222222</v>
      </c>
      <c r="AA8" s="263"/>
      <c r="AB8" s="263"/>
    </row>
    <row r="9" spans="2:28" s="265" customFormat="1" ht="15">
      <c r="B9" s="262">
        <v>6</v>
      </c>
      <c r="C9" s="262" t="s">
        <v>354</v>
      </c>
      <c r="D9" s="192"/>
      <c r="E9" s="282"/>
      <c r="F9" s="267">
        <f>Htrang!F20</f>
        <v>6778</v>
      </c>
      <c r="G9" s="263" t="e">
        <f>SUM(#REF!)</f>
        <v>#REF!</v>
      </c>
      <c r="H9" s="268" t="e">
        <f>G9/F9*100</f>
        <v>#REF!</v>
      </c>
      <c r="I9" s="269" t="e">
        <f t="shared" si="0"/>
        <v>#REF!</v>
      </c>
      <c r="J9" s="270" t="e">
        <f t="shared" si="1"/>
        <v>#REF!</v>
      </c>
      <c r="K9" s="263" t="e">
        <f>SUM(#REF!)</f>
        <v>#REF!</v>
      </c>
      <c r="L9" s="263" t="e">
        <f>SUM(#REF!)</f>
        <v>#REF!</v>
      </c>
      <c r="M9" s="263" t="e">
        <f>SUM(#REF!)</f>
        <v>#REF!</v>
      </c>
      <c r="N9" s="275" t="s">
        <v>373</v>
      </c>
      <c r="O9" s="263" t="e">
        <f>SUM(#REF!)</f>
        <v>#REF!</v>
      </c>
      <c r="P9" s="263" t="e">
        <f>SUM(#REF!)</f>
        <v>#REF!</v>
      </c>
      <c r="Q9" s="263" t="e">
        <f>SUM(#REF!)</f>
        <v>#REF!</v>
      </c>
      <c r="R9" s="263" t="e">
        <f>SUM(#REF!)</f>
        <v>#REF!</v>
      </c>
      <c r="S9" s="263" t="e">
        <f>SUM(#REF!)</f>
        <v>#REF!</v>
      </c>
      <c r="T9" s="263" t="e">
        <f>SUM(#REF!)</f>
        <v>#REF!</v>
      </c>
      <c r="U9" s="263"/>
      <c r="V9" s="263" t="e">
        <f>SUM(#REF!)</f>
        <v>#REF!</v>
      </c>
      <c r="W9" s="263" t="e">
        <f>SUM(#REF!)</f>
        <v>#REF!</v>
      </c>
      <c r="X9" s="263"/>
      <c r="Y9" s="263" t="e">
        <f>SUM(#REF!)</f>
        <v>#REF!</v>
      </c>
      <c r="Z9" s="263" t="e">
        <f>SUM(#REF!)</f>
        <v>#REF!</v>
      </c>
      <c r="AA9" s="263"/>
      <c r="AB9" s="263"/>
    </row>
    <row r="10" spans="2:28" s="265" customFormat="1" ht="15">
      <c r="B10" s="262">
        <v>6</v>
      </c>
      <c r="C10" s="262" t="s">
        <v>355</v>
      </c>
      <c r="D10" s="192"/>
      <c r="E10" s="282"/>
      <c r="F10" s="267">
        <f>Htrang!F21</f>
        <v>7078</v>
      </c>
      <c r="G10" s="263">
        <f>F10*H10/100</f>
        <v>3326.66</v>
      </c>
      <c r="H10" s="268">
        <v>47</v>
      </c>
      <c r="I10" s="269">
        <f t="shared" si="0"/>
        <v>26.143940168216773</v>
      </c>
      <c r="J10" s="270">
        <f t="shared" si="1"/>
        <v>12.287651879061881</v>
      </c>
      <c r="K10" s="263">
        <v>86972</v>
      </c>
      <c r="L10" s="263">
        <f>K10-G10*2</f>
        <v>80318.68</v>
      </c>
      <c r="M10" s="263">
        <f t="shared" si="6"/>
        <v>1874.1025333333332</v>
      </c>
      <c r="N10" s="275" t="s">
        <v>373</v>
      </c>
      <c r="O10" s="263">
        <f>(K10-L10)*0.002+M10*0.2</f>
        <v>388.1271466666667</v>
      </c>
      <c r="P10" s="271">
        <f t="shared" si="2"/>
        <v>97.03178666666668</v>
      </c>
      <c r="Q10" s="271">
        <f>O10+P10</f>
        <v>485.1589333333334</v>
      </c>
      <c r="R10" s="271">
        <f>P10+O10*1.52</f>
        <v>686.9850496</v>
      </c>
      <c r="S10" s="272">
        <f>Q10</f>
        <v>485.1589333333334</v>
      </c>
      <c r="T10" s="273">
        <f t="shared" si="3"/>
        <v>5.6152654320987665</v>
      </c>
      <c r="U10" s="263" t="s">
        <v>372</v>
      </c>
      <c r="V10" s="263">
        <f>(K10-L10)*0.01+M10*1.3</f>
        <v>2502.866493333333</v>
      </c>
      <c r="W10" s="274">
        <f t="shared" si="4"/>
        <v>5.959205936507936</v>
      </c>
      <c r="X10" s="263" t="s">
        <v>374</v>
      </c>
      <c r="Y10" s="263">
        <f>(K10-L10)*0.025*0.5+M10/4*4*0.7</f>
        <v>1395.038273333333</v>
      </c>
      <c r="Z10" s="272">
        <f t="shared" si="5"/>
        <v>1550.0425259259257</v>
      </c>
      <c r="AA10" s="263"/>
      <c r="AB10" s="263"/>
    </row>
    <row r="11" spans="2:28" s="265" customFormat="1" ht="15">
      <c r="B11" s="262">
        <v>7</v>
      </c>
      <c r="C11" s="262" t="s">
        <v>356</v>
      </c>
      <c r="D11" s="192"/>
      <c r="E11" s="282"/>
      <c r="F11" s="267" t="e">
        <f>Htrang!#REF!</f>
        <v>#REF!</v>
      </c>
      <c r="G11" s="263" t="e">
        <f>SUM(#REF!)</f>
        <v>#REF!</v>
      </c>
      <c r="H11" s="268" t="e">
        <f>G11/F11*100</f>
        <v>#REF!</v>
      </c>
      <c r="I11" s="269" t="e">
        <f t="shared" si="0"/>
        <v>#REF!</v>
      </c>
      <c r="J11" s="270" t="e">
        <f t="shared" si="1"/>
        <v>#REF!</v>
      </c>
      <c r="K11" s="263" t="e">
        <f>SUM(#REF!)</f>
        <v>#REF!</v>
      </c>
      <c r="L11" s="263" t="e">
        <f>SUM(#REF!)</f>
        <v>#REF!</v>
      </c>
      <c r="M11" s="263" t="e">
        <f>SUM(#REF!)</f>
        <v>#REF!</v>
      </c>
      <c r="N11" s="275"/>
      <c r="O11" s="263" t="e">
        <f>SUM(#REF!)</f>
        <v>#REF!</v>
      </c>
      <c r="P11" s="263" t="e">
        <f>SUM(#REF!)</f>
        <v>#REF!</v>
      </c>
      <c r="Q11" s="263" t="e">
        <f>SUM(#REF!)</f>
        <v>#REF!</v>
      </c>
      <c r="R11" s="263" t="e">
        <f>SUM(#REF!)</f>
        <v>#REF!</v>
      </c>
      <c r="S11" s="263" t="e">
        <f>SUM(#REF!)</f>
        <v>#REF!</v>
      </c>
      <c r="T11" s="289" t="e">
        <f>SUM(#REF!)</f>
        <v>#REF!</v>
      </c>
      <c r="U11" s="263"/>
      <c r="V11" s="263" t="e">
        <f>SUM(#REF!)</f>
        <v>#REF!</v>
      </c>
      <c r="W11" s="263" t="e">
        <f>SUM(#REF!)</f>
        <v>#REF!</v>
      </c>
      <c r="X11" s="263"/>
      <c r="Y11" s="263" t="e">
        <f>SUM(#REF!)</f>
        <v>#REF!</v>
      </c>
      <c r="Z11" s="263" t="e">
        <f>SUM(#REF!)</f>
        <v>#REF!</v>
      </c>
      <c r="AA11" s="263"/>
      <c r="AB11" s="263"/>
    </row>
    <row r="12" spans="2:28" s="265" customFormat="1" ht="15">
      <c r="B12" s="262">
        <v>8</v>
      </c>
      <c r="C12" s="262" t="s">
        <v>357</v>
      </c>
      <c r="D12" s="192"/>
      <c r="E12" s="282"/>
      <c r="F12" s="267">
        <f>Htrang!F40</f>
        <v>0</v>
      </c>
      <c r="G12" s="263">
        <v>2687</v>
      </c>
      <c r="H12" s="268" t="e">
        <f>G12/F12*100</f>
        <v>#DIV/0!</v>
      </c>
      <c r="I12" s="269">
        <f t="shared" si="0"/>
        <v>17.24637141793822</v>
      </c>
      <c r="J12" s="270" t="e">
        <f t="shared" si="1"/>
        <v>#DIV/0!</v>
      </c>
      <c r="K12" s="263">
        <v>46341</v>
      </c>
      <c r="L12" s="263">
        <f>K12-G12</f>
        <v>43654</v>
      </c>
      <c r="M12" s="263">
        <f t="shared" si="6"/>
        <v>1018.5933333333334</v>
      </c>
      <c r="N12" s="275" t="s">
        <v>373</v>
      </c>
      <c r="O12" s="263">
        <f>(K12-L12)*0.002+M12*0.2</f>
        <v>209.09266666666667</v>
      </c>
      <c r="P12" s="271">
        <f t="shared" si="2"/>
        <v>52.27316666666667</v>
      </c>
      <c r="Q12" s="271">
        <f>O12+P12</f>
        <v>261.36583333333334</v>
      </c>
      <c r="R12" s="271">
        <f>P12+O12*1.52</f>
        <v>370.09402</v>
      </c>
      <c r="S12" s="272">
        <f>Q12</f>
        <v>261.36583333333334</v>
      </c>
      <c r="T12" s="273">
        <f t="shared" si="3"/>
        <v>3.025067515432099</v>
      </c>
      <c r="U12" s="263" t="s">
        <v>372</v>
      </c>
      <c r="V12" s="263">
        <f>(K12-L12)*0.01+M12*1.3</f>
        <v>1351.0413333333333</v>
      </c>
      <c r="W12" s="274">
        <f t="shared" si="4"/>
        <v>3.2167650793650795</v>
      </c>
      <c r="X12" s="263" t="s">
        <v>374</v>
      </c>
      <c r="Y12" s="263">
        <f>(K12-L12)*0.025*0.5+M12/4*4*0.7</f>
        <v>746.6028333333333</v>
      </c>
      <c r="Z12" s="272">
        <f t="shared" si="5"/>
        <v>829.5587037037036</v>
      </c>
      <c r="AA12" s="263"/>
      <c r="AB12" s="263"/>
    </row>
    <row r="13" spans="2:28" s="265" customFormat="1" ht="15">
      <c r="B13" s="262">
        <v>9</v>
      </c>
      <c r="C13" s="262" t="s">
        <v>358</v>
      </c>
      <c r="D13" s="192"/>
      <c r="E13" s="282"/>
      <c r="F13" s="267">
        <f>Htrang!F41</f>
        <v>16375</v>
      </c>
      <c r="G13" s="284">
        <f>F13*H13/100</f>
        <v>5731.25</v>
      </c>
      <c r="H13" s="286">
        <v>35</v>
      </c>
      <c r="I13" s="261">
        <f t="shared" si="0"/>
        <v>9.233587786259543</v>
      </c>
      <c r="J13" s="285">
        <f t="shared" si="1"/>
        <v>3.2317557251908395</v>
      </c>
      <c r="K13" s="284">
        <v>52920</v>
      </c>
      <c r="L13" s="263">
        <f>K13-G13*5</f>
        <v>24263.75</v>
      </c>
      <c r="M13" s="263">
        <f t="shared" si="6"/>
        <v>566.1541666666667</v>
      </c>
      <c r="N13" s="275" t="s">
        <v>373</v>
      </c>
      <c r="O13" s="263">
        <f>(K13-L13)*0.002+M13*0.2</f>
        <v>170.54333333333335</v>
      </c>
      <c r="P13" s="271">
        <f>O13*0.25</f>
        <v>42.63583333333334</v>
      </c>
      <c r="Q13" s="271">
        <f>O13+P13</f>
        <v>213.17916666666667</v>
      </c>
      <c r="R13" s="271">
        <f>P13+O13*1.52</f>
        <v>301.86170000000004</v>
      </c>
      <c r="S13" s="272">
        <f>Q13</f>
        <v>213.17916666666667</v>
      </c>
      <c r="T13" s="273">
        <f>S13*1000/24/60/60</f>
        <v>2.4673514660493834</v>
      </c>
      <c r="U13" s="263" t="s">
        <v>372</v>
      </c>
      <c r="V13" s="263">
        <f>(K13-L13)*0.01+M13*1.3</f>
        <v>1022.5629166666668</v>
      </c>
      <c r="W13" s="274">
        <f>V13/0.42/1000</f>
        <v>2.434673611111111</v>
      </c>
      <c r="X13" s="263" t="s">
        <v>374</v>
      </c>
      <c r="Y13" s="263">
        <f>(K13-L13)*0.025*0.5+M13/4*4*0.7</f>
        <v>754.5110416666666</v>
      </c>
      <c r="Z13" s="272">
        <f>Y13/0.9</f>
        <v>838.3456018518518</v>
      </c>
      <c r="AA13" s="263"/>
      <c r="AB13" s="263"/>
    </row>
    <row r="14" spans="2:28" s="265" customFormat="1" ht="15">
      <c r="B14" s="262">
        <v>10</v>
      </c>
      <c r="C14" s="262" t="s">
        <v>327</v>
      </c>
      <c r="D14" s="192"/>
      <c r="E14" s="282"/>
      <c r="F14" s="267" t="e">
        <f>Htrang!#REF!</f>
        <v>#REF!</v>
      </c>
      <c r="G14" s="263" t="e">
        <f>SUM(#REF!)</f>
        <v>#REF!</v>
      </c>
      <c r="H14" s="268" t="e">
        <f>G14/F14*100</f>
        <v>#REF!</v>
      </c>
      <c r="I14" s="269" t="e">
        <f t="shared" si="0"/>
        <v>#REF!</v>
      </c>
      <c r="J14" s="270" t="e">
        <f t="shared" si="1"/>
        <v>#REF!</v>
      </c>
      <c r="K14" s="263" t="e">
        <f>SUM(#REF!)</f>
        <v>#REF!</v>
      </c>
      <c r="L14" s="263" t="e">
        <f>SUM(#REF!)</f>
        <v>#REF!</v>
      </c>
      <c r="M14" s="263" t="e">
        <f>SUM(#REF!)</f>
        <v>#REF!</v>
      </c>
      <c r="N14" s="275"/>
      <c r="O14" s="263" t="e">
        <f>SUM(#REF!)</f>
        <v>#REF!</v>
      </c>
      <c r="P14" s="263" t="e">
        <f>SUM(#REF!)</f>
        <v>#REF!</v>
      </c>
      <c r="Q14" s="263" t="e">
        <f>SUM(#REF!)</f>
        <v>#REF!</v>
      </c>
      <c r="R14" s="263" t="e">
        <f>SUM(#REF!)</f>
        <v>#REF!</v>
      </c>
      <c r="S14" s="263" t="e">
        <f>SUM(#REF!)</f>
        <v>#REF!</v>
      </c>
      <c r="T14" s="289" t="e">
        <f>SUM(#REF!)</f>
        <v>#REF!</v>
      </c>
      <c r="U14" s="263"/>
      <c r="V14" s="263" t="e">
        <f>SUM(#REF!)</f>
        <v>#REF!</v>
      </c>
      <c r="W14" s="263" t="e">
        <f>SUM(#REF!)</f>
        <v>#REF!</v>
      </c>
      <c r="X14" s="263"/>
      <c r="Y14" s="263" t="e">
        <f>SUM(#REF!)</f>
        <v>#REF!</v>
      </c>
      <c r="Z14" s="263" t="e">
        <f>SUM(#REF!)</f>
        <v>#REF!</v>
      </c>
      <c r="AA14" s="263"/>
      <c r="AB14" s="263"/>
    </row>
    <row r="15" spans="2:28" s="265" customFormat="1" ht="15">
      <c r="B15" s="262">
        <v>11</v>
      </c>
      <c r="C15" s="262" t="s">
        <v>328</v>
      </c>
      <c r="D15" s="192"/>
      <c r="E15" s="282"/>
      <c r="F15" s="267" t="e">
        <f>Htrang!#REF!</f>
        <v>#REF!</v>
      </c>
      <c r="G15" s="263" t="e">
        <f>SUM(#REF!)</f>
        <v>#REF!</v>
      </c>
      <c r="H15" s="268" t="e">
        <f>G15/F15*100</f>
        <v>#REF!</v>
      </c>
      <c r="I15" s="269" t="e">
        <f t="shared" si="0"/>
        <v>#REF!</v>
      </c>
      <c r="J15" s="270" t="e">
        <f t="shared" si="1"/>
        <v>#REF!</v>
      </c>
      <c r="K15" s="263" t="e">
        <f>SUM(#REF!)</f>
        <v>#REF!</v>
      </c>
      <c r="L15" s="263" t="e">
        <f>SUM(#REF!)</f>
        <v>#REF!</v>
      </c>
      <c r="M15" s="263" t="e">
        <f>SUM(#REF!)</f>
        <v>#REF!</v>
      </c>
      <c r="N15" s="263"/>
      <c r="O15" s="263" t="e">
        <f>SUM(#REF!)</f>
        <v>#REF!</v>
      </c>
      <c r="P15" s="263" t="e">
        <f>SUM(#REF!)</f>
        <v>#REF!</v>
      </c>
      <c r="Q15" s="263" t="e">
        <f>SUM(#REF!)</f>
        <v>#REF!</v>
      </c>
      <c r="R15" s="263" t="e">
        <f>SUM(#REF!)</f>
        <v>#REF!</v>
      </c>
      <c r="S15" s="263" t="e">
        <f>SUM(#REF!)</f>
        <v>#REF!</v>
      </c>
      <c r="T15" s="289" t="e">
        <f>SUM(#REF!)</f>
        <v>#REF!</v>
      </c>
      <c r="U15" s="263"/>
      <c r="V15" s="263" t="e">
        <f>SUM(#REF!)</f>
        <v>#REF!</v>
      </c>
      <c r="W15" s="263" t="e">
        <f>SUM(#REF!)</f>
        <v>#REF!</v>
      </c>
      <c r="X15" s="263" t="e">
        <f>SUM(#REF!)</f>
        <v>#REF!</v>
      </c>
      <c r="Y15" s="263" t="e">
        <f>SUM(#REF!)</f>
        <v>#REF!</v>
      </c>
      <c r="Z15" s="263" t="e">
        <f>SUM(#REF!)</f>
        <v>#REF!</v>
      </c>
      <c r="AA15" s="263"/>
      <c r="AB15" s="263"/>
    </row>
    <row r="16" spans="2:28" s="265" customFormat="1" ht="15">
      <c r="B16" s="262">
        <v>12</v>
      </c>
      <c r="C16" s="262" t="s">
        <v>329</v>
      </c>
      <c r="D16" s="192"/>
      <c r="E16" s="282"/>
      <c r="F16" s="267" t="e">
        <f>Htrang!#REF!</f>
        <v>#REF!</v>
      </c>
      <c r="G16" s="263">
        <v>2790</v>
      </c>
      <c r="H16" s="268" t="e">
        <f>G16/F16*100</f>
        <v>#REF!</v>
      </c>
      <c r="I16" s="269">
        <f t="shared" si="0"/>
        <v>8.263440860215054</v>
      </c>
      <c r="J16" s="270" t="e">
        <f t="shared" si="1"/>
        <v>#REF!</v>
      </c>
      <c r="K16" s="263">
        <v>23055</v>
      </c>
      <c r="L16" s="263">
        <f>K16-G16*3</f>
        <v>14685</v>
      </c>
      <c r="M16" s="263">
        <f>L16*0.7/30</f>
        <v>342.65</v>
      </c>
      <c r="N16" s="275" t="s">
        <v>373</v>
      </c>
      <c r="O16" s="263">
        <f>(K16-L16)*0.002+M16*0.2</f>
        <v>85.27000000000001</v>
      </c>
      <c r="P16" s="271">
        <f aca="true" t="shared" si="7" ref="P16:P23">O16*0.25</f>
        <v>21.317500000000003</v>
      </c>
      <c r="Q16" s="271">
        <f aca="true" t="shared" si="8" ref="Q16:Q23">O16+P16</f>
        <v>106.5875</v>
      </c>
      <c r="R16" s="271">
        <f aca="true" t="shared" si="9" ref="R16:R23">P16+O16*1.52</f>
        <v>150.92790000000002</v>
      </c>
      <c r="S16" s="272">
        <f aca="true" t="shared" si="10" ref="S16:S23">Q16</f>
        <v>106.5875</v>
      </c>
      <c r="T16" s="273">
        <f aca="true" t="shared" si="11" ref="T16:T23">S16*1000/24/60/60</f>
        <v>1.2336516203703702</v>
      </c>
      <c r="U16" s="263" t="s">
        <v>372</v>
      </c>
      <c r="V16" s="263">
        <f>(K16-L16)*0.01+M16*1.3</f>
        <v>529.145</v>
      </c>
      <c r="W16" s="274">
        <f aca="true" t="shared" si="12" ref="W16:W23">V16/0.42/1000</f>
        <v>1.2598690476190477</v>
      </c>
      <c r="X16" s="263" t="s">
        <v>374</v>
      </c>
      <c r="Y16" s="263">
        <f>(K16-L16)*0.025*0.5+M16/4*4*0.7</f>
        <v>344.47999999999996</v>
      </c>
      <c r="Z16" s="272">
        <f aca="true" t="shared" si="13" ref="Z16:Z23">Y16/0.9</f>
        <v>382.75555555555553</v>
      </c>
      <c r="AA16" s="263"/>
      <c r="AB16" s="263"/>
    </row>
    <row r="17" spans="2:28" s="265" customFormat="1" ht="15">
      <c r="B17" s="262">
        <v>13</v>
      </c>
      <c r="C17" s="262" t="s">
        <v>330</v>
      </c>
      <c r="D17" s="192"/>
      <c r="E17" s="282"/>
      <c r="F17" s="267" t="e">
        <f>Htrang!#REF!</f>
        <v>#REF!</v>
      </c>
      <c r="G17" s="263">
        <v>730</v>
      </c>
      <c r="H17" s="268">
        <v>46.5</v>
      </c>
      <c r="I17" s="269">
        <f t="shared" si="0"/>
        <v>12.624657534246575</v>
      </c>
      <c r="J17" s="270" t="e">
        <f t="shared" si="1"/>
        <v>#REF!</v>
      </c>
      <c r="K17" s="263">
        <v>9216</v>
      </c>
      <c r="L17" s="263"/>
      <c r="M17" s="263"/>
      <c r="N17" s="275">
        <v>0.002</v>
      </c>
      <c r="O17" s="271">
        <f>K17*N17</f>
        <v>18.432000000000002</v>
      </c>
      <c r="P17" s="271">
        <f t="shared" si="7"/>
        <v>4.6080000000000005</v>
      </c>
      <c r="Q17" s="271">
        <f t="shared" si="8"/>
        <v>23.040000000000003</v>
      </c>
      <c r="R17" s="271">
        <f t="shared" si="9"/>
        <v>32.62464</v>
      </c>
      <c r="S17" s="272">
        <f t="shared" si="10"/>
        <v>23.040000000000003</v>
      </c>
      <c r="T17" s="273">
        <f t="shared" si="11"/>
        <v>0.2666666666666667</v>
      </c>
      <c r="U17" s="275">
        <v>0.01</v>
      </c>
      <c r="V17" s="271">
        <f>U17*K17</f>
        <v>92.16</v>
      </c>
      <c r="W17" s="274">
        <f t="shared" si="12"/>
        <v>0.21942857142857142</v>
      </c>
      <c r="X17" s="264">
        <v>0.025</v>
      </c>
      <c r="Y17" s="272">
        <f>K17*0.025*0.5</f>
        <v>115.2</v>
      </c>
      <c r="Z17" s="272">
        <f t="shared" si="13"/>
        <v>128</v>
      </c>
      <c r="AA17" s="263"/>
      <c r="AB17" s="263"/>
    </row>
    <row r="18" spans="2:28" s="265" customFormat="1" ht="15">
      <c r="B18" s="262">
        <v>14</v>
      </c>
      <c r="C18" s="262" t="s">
        <v>331</v>
      </c>
      <c r="D18" s="192"/>
      <c r="E18" s="282"/>
      <c r="F18" s="267">
        <f>Htrang!F43</f>
        <v>9542</v>
      </c>
      <c r="G18" s="263">
        <f>Htrang!G43</f>
        <v>0</v>
      </c>
      <c r="H18" s="268">
        <f>G18/F18*100</f>
        <v>0</v>
      </c>
      <c r="I18" s="269" t="e">
        <f t="shared" si="0"/>
        <v>#DIV/0!</v>
      </c>
      <c r="J18" s="270">
        <f t="shared" si="1"/>
        <v>0</v>
      </c>
      <c r="K18" s="263">
        <f>Htrang!K43</f>
        <v>0</v>
      </c>
      <c r="L18" s="263">
        <f>Htrang!L43</f>
        <v>1</v>
      </c>
      <c r="M18" s="263">
        <f>L18*0.7/30</f>
        <v>0.02333333333333333</v>
      </c>
      <c r="N18" s="275" t="s">
        <v>373</v>
      </c>
      <c r="O18" s="263">
        <f>(K18-L18)*0.002+M18*0.2</f>
        <v>0.002666666666666666</v>
      </c>
      <c r="P18" s="271">
        <f t="shared" si="7"/>
        <v>0.0006666666666666665</v>
      </c>
      <c r="Q18" s="271">
        <f t="shared" si="8"/>
        <v>0.0033333333333333327</v>
      </c>
      <c r="R18" s="271">
        <f t="shared" si="9"/>
        <v>0.0047199999999999985</v>
      </c>
      <c r="S18" s="272">
        <f t="shared" si="10"/>
        <v>0.0033333333333333327</v>
      </c>
      <c r="T18" s="273">
        <f t="shared" si="11"/>
        <v>3.858024691358024E-05</v>
      </c>
      <c r="U18" s="263" t="s">
        <v>372</v>
      </c>
      <c r="V18" s="263">
        <f>(K18-L18)*0.01+M18*1.3</f>
        <v>0.020333333333333328</v>
      </c>
      <c r="W18" s="274">
        <f t="shared" si="12"/>
        <v>4.84126984126984E-05</v>
      </c>
      <c r="X18" s="263" t="s">
        <v>374</v>
      </c>
      <c r="Y18" s="263">
        <f>(K18-L18)*0.025*0.5+M18/4*4*0.7</f>
        <v>0.003833333333333331</v>
      </c>
      <c r="Z18" s="272">
        <f t="shared" si="13"/>
        <v>0.004259259259259257</v>
      </c>
      <c r="AA18" s="263"/>
      <c r="AB18" s="263"/>
    </row>
    <row r="19" spans="2:28" s="265" customFormat="1" ht="15">
      <c r="B19" s="262">
        <v>15</v>
      </c>
      <c r="C19" s="262" t="s">
        <v>332</v>
      </c>
      <c r="D19" s="192"/>
      <c r="E19" s="282"/>
      <c r="F19" s="267" t="e">
        <f>Htrang!#REF!</f>
        <v>#REF!</v>
      </c>
      <c r="G19" s="263" t="e">
        <f>Htrang!#REF!</f>
        <v>#REF!</v>
      </c>
      <c r="H19" s="268" t="e">
        <f>G19/F19*100</f>
        <v>#REF!</v>
      </c>
      <c r="I19" s="269" t="e">
        <f t="shared" si="0"/>
        <v>#REF!</v>
      </c>
      <c r="J19" s="270" t="e">
        <f t="shared" si="1"/>
        <v>#REF!</v>
      </c>
      <c r="K19" s="263" t="e">
        <f>Htrang!#REF!</f>
        <v>#REF!</v>
      </c>
      <c r="L19" s="263" t="e">
        <f>Htrang!#REF!</f>
        <v>#REF!</v>
      </c>
      <c r="M19" s="263" t="e">
        <f>L19*0.7/30</f>
        <v>#REF!</v>
      </c>
      <c r="N19" s="275" t="s">
        <v>373</v>
      </c>
      <c r="O19" s="263" t="e">
        <f>(K19-L19)*0.002+M19*0.2</f>
        <v>#REF!</v>
      </c>
      <c r="P19" s="271" t="e">
        <f t="shared" si="7"/>
        <v>#REF!</v>
      </c>
      <c r="Q19" s="271" t="e">
        <f t="shared" si="8"/>
        <v>#REF!</v>
      </c>
      <c r="R19" s="271" t="e">
        <f t="shared" si="9"/>
        <v>#REF!</v>
      </c>
      <c r="S19" s="272" t="e">
        <f t="shared" si="10"/>
        <v>#REF!</v>
      </c>
      <c r="T19" s="273" t="e">
        <f t="shared" si="11"/>
        <v>#REF!</v>
      </c>
      <c r="U19" s="263" t="s">
        <v>372</v>
      </c>
      <c r="V19" s="263" t="e">
        <f>(K19-L19)*0.01+M19*1.3</f>
        <v>#REF!</v>
      </c>
      <c r="W19" s="274" t="e">
        <f t="shared" si="12"/>
        <v>#REF!</v>
      </c>
      <c r="X19" s="263" t="s">
        <v>374</v>
      </c>
      <c r="Y19" s="263" t="e">
        <f>(K19-L19)*0.025*0.5+M19/4*4*0.7</f>
        <v>#REF!</v>
      </c>
      <c r="Z19" s="272" t="e">
        <f t="shared" si="13"/>
        <v>#REF!</v>
      </c>
      <c r="AA19" s="263"/>
      <c r="AB19" s="263"/>
    </row>
    <row r="20" spans="2:28" s="265" customFormat="1" ht="15">
      <c r="B20" s="262">
        <v>16</v>
      </c>
      <c r="C20" s="262" t="s">
        <v>333</v>
      </c>
      <c r="D20" s="192"/>
      <c r="E20" s="282"/>
      <c r="F20" s="267">
        <f>Htrang!F58</f>
        <v>0</v>
      </c>
      <c r="G20" s="263">
        <f>F20*H20/100</f>
        <v>0</v>
      </c>
      <c r="H20" s="268">
        <v>40</v>
      </c>
      <c r="I20" s="269">
        <v>18</v>
      </c>
      <c r="J20" s="270" t="e">
        <f t="shared" si="1"/>
        <v>#DIV/0!</v>
      </c>
      <c r="K20" s="263">
        <f>I20*G20</f>
        <v>0</v>
      </c>
      <c r="L20" s="263"/>
      <c r="M20" s="263"/>
      <c r="N20" s="275">
        <v>0.002</v>
      </c>
      <c r="O20" s="271">
        <f>K20*N20</f>
        <v>0</v>
      </c>
      <c r="P20" s="271">
        <f t="shared" si="7"/>
        <v>0</v>
      </c>
      <c r="Q20" s="271">
        <f t="shared" si="8"/>
        <v>0</v>
      </c>
      <c r="R20" s="271">
        <f t="shared" si="9"/>
        <v>0</v>
      </c>
      <c r="S20" s="272">
        <f t="shared" si="10"/>
        <v>0</v>
      </c>
      <c r="T20" s="273">
        <f t="shared" si="11"/>
        <v>0</v>
      </c>
      <c r="U20" s="275">
        <v>0.01</v>
      </c>
      <c r="V20" s="271">
        <f>U20*K20</f>
        <v>0</v>
      </c>
      <c r="W20" s="274">
        <f t="shared" si="12"/>
        <v>0</v>
      </c>
      <c r="X20" s="264">
        <v>0.025</v>
      </c>
      <c r="Y20" s="272">
        <f>K20*0.025*0.5</f>
        <v>0</v>
      </c>
      <c r="Z20" s="272">
        <f t="shared" si="13"/>
        <v>0</v>
      </c>
      <c r="AA20" s="263"/>
      <c r="AB20" s="263"/>
    </row>
    <row r="21" spans="2:28" s="265" customFormat="1" ht="15">
      <c r="B21" s="262">
        <v>17</v>
      </c>
      <c r="C21" s="262" t="s">
        <v>334</v>
      </c>
      <c r="D21" s="192"/>
      <c r="E21" s="282"/>
      <c r="F21" s="267" t="e">
        <f>Htrang!#REF!</f>
        <v>#REF!</v>
      </c>
      <c r="G21" s="263" t="e">
        <f>F21*H21/100</f>
        <v>#REF!</v>
      </c>
      <c r="H21" s="268">
        <v>40</v>
      </c>
      <c r="I21" s="269" t="e">
        <f aca="true" t="shared" si="14" ref="I21:I28">K21/G21</f>
        <v>#REF!</v>
      </c>
      <c r="J21" s="270" t="e">
        <f t="shared" si="1"/>
        <v>#REF!</v>
      </c>
      <c r="K21" s="263" t="e">
        <f>G21*2+589*3*16</f>
        <v>#REF!</v>
      </c>
      <c r="L21" s="263">
        <f>589*3*16</f>
        <v>28272</v>
      </c>
      <c r="M21" s="263">
        <f>L21*0.7/30</f>
        <v>659.68</v>
      </c>
      <c r="N21" s="275" t="s">
        <v>373</v>
      </c>
      <c r="O21" s="263" t="e">
        <f>(K21-L21)*0.002+M21*0.2</f>
        <v>#REF!</v>
      </c>
      <c r="P21" s="271" t="e">
        <f t="shared" si="7"/>
        <v>#REF!</v>
      </c>
      <c r="Q21" s="271" t="e">
        <f t="shared" si="8"/>
        <v>#REF!</v>
      </c>
      <c r="R21" s="271" t="e">
        <f t="shared" si="9"/>
        <v>#REF!</v>
      </c>
      <c r="S21" s="272" t="e">
        <f t="shared" si="10"/>
        <v>#REF!</v>
      </c>
      <c r="T21" s="273" t="e">
        <f t="shared" si="11"/>
        <v>#REF!</v>
      </c>
      <c r="U21" s="263" t="s">
        <v>372</v>
      </c>
      <c r="V21" s="263" t="e">
        <f>(K21-L21)*0.01+M21*1.3</f>
        <v>#REF!</v>
      </c>
      <c r="W21" s="274" t="e">
        <f t="shared" si="12"/>
        <v>#REF!</v>
      </c>
      <c r="X21" s="263" t="s">
        <v>374</v>
      </c>
      <c r="Y21" s="263" t="e">
        <f>(K21-L21)*0.025*0.5+M21/4*4*0.7</f>
        <v>#REF!</v>
      </c>
      <c r="Z21" s="272" t="e">
        <f t="shared" si="13"/>
        <v>#REF!</v>
      </c>
      <c r="AA21" s="263"/>
      <c r="AB21" s="263"/>
    </row>
    <row r="22" spans="2:28" s="265" customFormat="1" ht="15">
      <c r="B22" s="262">
        <v>18</v>
      </c>
      <c r="C22" s="262" t="s">
        <v>335</v>
      </c>
      <c r="D22" s="192"/>
      <c r="E22" s="282"/>
      <c r="F22" s="267" t="e">
        <f>Htrang!#REF!</f>
        <v>#REF!</v>
      </c>
      <c r="G22" s="263" t="e">
        <f>F22*H22/100</f>
        <v>#REF!</v>
      </c>
      <c r="H22" s="268">
        <v>40</v>
      </c>
      <c r="I22" s="269" t="e">
        <f t="shared" si="14"/>
        <v>#REF!</v>
      </c>
      <c r="J22" s="270" t="e">
        <f t="shared" si="1"/>
        <v>#REF!</v>
      </c>
      <c r="K22" s="263" t="e">
        <f>G22*2+1508*16</f>
        <v>#REF!</v>
      </c>
      <c r="L22" s="263">
        <f>1508*16</f>
        <v>24128</v>
      </c>
      <c r="M22" s="263">
        <f>L22*0.7/30</f>
        <v>562.9866666666666</v>
      </c>
      <c r="N22" s="275" t="s">
        <v>373</v>
      </c>
      <c r="O22" s="263" t="e">
        <f>(K22-L22)*0.002+M22*0.2</f>
        <v>#REF!</v>
      </c>
      <c r="P22" s="271" t="e">
        <f t="shared" si="7"/>
        <v>#REF!</v>
      </c>
      <c r="Q22" s="271" t="e">
        <f t="shared" si="8"/>
        <v>#REF!</v>
      </c>
      <c r="R22" s="271" t="e">
        <f t="shared" si="9"/>
        <v>#REF!</v>
      </c>
      <c r="S22" s="272" t="e">
        <f t="shared" si="10"/>
        <v>#REF!</v>
      </c>
      <c r="T22" s="273" t="e">
        <f t="shared" si="11"/>
        <v>#REF!</v>
      </c>
      <c r="U22" s="263" t="s">
        <v>372</v>
      </c>
      <c r="V22" s="263" t="e">
        <f>(K22-L22)*0.01+M22*1.3</f>
        <v>#REF!</v>
      </c>
      <c r="W22" s="274" t="e">
        <f t="shared" si="12"/>
        <v>#REF!</v>
      </c>
      <c r="X22" s="263" t="s">
        <v>374</v>
      </c>
      <c r="Y22" s="263" t="e">
        <f>(K22-L22)*0.025*0.5+M22/4*4*0.7</f>
        <v>#REF!</v>
      </c>
      <c r="Z22" s="272" t="e">
        <f t="shared" si="13"/>
        <v>#REF!</v>
      </c>
      <c r="AA22" s="263"/>
      <c r="AB22" s="263"/>
    </row>
    <row r="23" spans="2:28" s="265" customFormat="1" ht="15">
      <c r="B23" s="262">
        <v>19</v>
      </c>
      <c r="C23" s="262" t="s">
        <v>336</v>
      </c>
      <c r="D23" s="192"/>
      <c r="E23" s="282"/>
      <c r="F23" s="267" t="e">
        <f>Htrang!#REF!</f>
        <v>#REF!</v>
      </c>
      <c r="G23" s="263" t="e">
        <f>F23*H23/100</f>
        <v>#REF!</v>
      </c>
      <c r="H23" s="268">
        <v>39</v>
      </c>
      <c r="I23" s="269" t="e">
        <f t="shared" si="14"/>
        <v>#REF!</v>
      </c>
      <c r="J23" s="270" t="e">
        <f t="shared" si="1"/>
        <v>#REF!</v>
      </c>
      <c r="K23" s="263" t="e">
        <f>G23*3+1000*2*18</f>
        <v>#REF!</v>
      </c>
      <c r="L23" s="263"/>
      <c r="M23" s="263"/>
      <c r="N23" s="275">
        <v>0.002</v>
      </c>
      <c r="O23" s="271" t="e">
        <f>K23*N23</f>
        <v>#REF!</v>
      </c>
      <c r="P23" s="271" t="e">
        <f t="shared" si="7"/>
        <v>#REF!</v>
      </c>
      <c r="Q23" s="271" t="e">
        <f t="shared" si="8"/>
        <v>#REF!</v>
      </c>
      <c r="R23" s="271" t="e">
        <f t="shared" si="9"/>
        <v>#REF!</v>
      </c>
      <c r="S23" s="272" t="e">
        <f t="shared" si="10"/>
        <v>#REF!</v>
      </c>
      <c r="T23" s="273" t="e">
        <f t="shared" si="11"/>
        <v>#REF!</v>
      </c>
      <c r="U23" s="275">
        <v>0.01</v>
      </c>
      <c r="V23" s="271" t="e">
        <f>U23*K23</f>
        <v>#REF!</v>
      </c>
      <c r="W23" s="274" t="e">
        <f t="shared" si="12"/>
        <v>#REF!</v>
      </c>
      <c r="X23" s="264">
        <v>0.025</v>
      </c>
      <c r="Y23" s="272" t="e">
        <f>K23*0.025*0.5</f>
        <v>#REF!</v>
      </c>
      <c r="Z23" s="272" t="e">
        <f t="shared" si="13"/>
        <v>#REF!</v>
      </c>
      <c r="AA23" s="263"/>
      <c r="AB23" s="263"/>
    </row>
    <row r="24" spans="2:28" s="265" customFormat="1" ht="15">
      <c r="B24" s="262">
        <v>20</v>
      </c>
      <c r="C24" s="262" t="s">
        <v>337</v>
      </c>
      <c r="D24" s="192"/>
      <c r="E24" s="311"/>
      <c r="F24" s="267">
        <v>1</v>
      </c>
      <c r="G24" s="263" t="e">
        <f>SUM(#REF!)</f>
        <v>#REF!</v>
      </c>
      <c r="H24" s="268" t="e">
        <f>G24/F24*100</f>
        <v>#REF!</v>
      </c>
      <c r="I24" s="269" t="e">
        <f t="shared" si="14"/>
        <v>#REF!</v>
      </c>
      <c r="J24" s="270" t="e">
        <f t="shared" si="1"/>
        <v>#REF!</v>
      </c>
      <c r="K24" s="263" t="e">
        <f>#REF!+#REF!</f>
        <v>#REF!</v>
      </c>
      <c r="L24" s="263" t="e">
        <f>#REF!+#REF!</f>
        <v>#REF!</v>
      </c>
      <c r="M24" s="263" t="e">
        <f>#REF!+#REF!</f>
        <v>#REF!</v>
      </c>
      <c r="N24" s="263"/>
      <c r="O24" s="263" t="e">
        <f>#REF!+#REF!</f>
        <v>#REF!</v>
      </c>
      <c r="P24" s="263" t="e">
        <f>#REF!+#REF!</f>
        <v>#REF!</v>
      </c>
      <c r="Q24" s="263" t="e">
        <f>#REF!+#REF!</f>
        <v>#REF!</v>
      </c>
      <c r="R24" s="263" t="e">
        <f>#REF!+#REF!</f>
        <v>#REF!</v>
      </c>
      <c r="S24" s="263" t="e">
        <f>#REF!+#REF!</f>
        <v>#REF!</v>
      </c>
      <c r="T24" s="263" t="e">
        <f>#REF!+#REF!</f>
        <v>#REF!</v>
      </c>
      <c r="U24" s="263"/>
      <c r="V24" s="263" t="e">
        <f>#REF!+#REF!</f>
        <v>#REF!</v>
      </c>
      <c r="W24" s="263" t="e">
        <f>#REF!+#REF!</f>
        <v>#REF!</v>
      </c>
      <c r="X24" s="263"/>
      <c r="Y24" s="263" t="e">
        <f>#REF!+#REF!</f>
        <v>#REF!</v>
      </c>
      <c r="Z24" s="263" t="e">
        <f>#REF!+#REF!</f>
        <v>#REF!</v>
      </c>
      <c r="AA24" s="263"/>
      <c r="AB24" s="263"/>
    </row>
    <row r="25" spans="2:28" s="265" customFormat="1" ht="15">
      <c r="B25" s="262">
        <v>21</v>
      </c>
      <c r="C25" s="262" t="s">
        <v>338</v>
      </c>
      <c r="D25" s="192"/>
      <c r="E25" s="282"/>
      <c r="F25" s="267">
        <f>Htrang!F73</f>
        <v>707</v>
      </c>
      <c r="G25" s="263" t="e">
        <f>#REF!+#REF!</f>
        <v>#REF!</v>
      </c>
      <c r="H25" s="270" t="e">
        <f>G25/F25*100</f>
        <v>#REF!</v>
      </c>
      <c r="I25" s="269" t="e">
        <f t="shared" si="14"/>
        <v>#REF!</v>
      </c>
      <c r="J25" s="270" t="e">
        <f t="shared" si="1"/>
        <v>#REF!</v>
      </c>
      <c r="K25" s="263" t="e">
        <f>#REF!+#REF!</f>
        <v>#REF!</v>
      </c>
      <c r="L25" s="263" t="e">
        <f>#REF!+#REF!</f>
        <v>#REF!</v>
      </c>
      <c r="M25" s="263" t="e">
        <f>#REF!+#REF!</f>
        <v>#REF!</v>
      </c>
      <c r="N25" s="275"/>
      <c r="O25" s="263" t="e">
        <f>#REF!+#REF!</f>
        <v>#REF!</v>
      </c>
      <c r="P25" s="263" t="e">
        <f>#REF!+#REF!</f>
        <v>#REF!</v>
      </c>
      <c r="Q25" s="263" t="e">
        <f>#REF!+#REF!</f>
        <v>#REF!</v>
      </c>
      <c r="R25" s="263" t="e">
        <f>#REF!+#REF!</f>
        <v>#REF!</v>
      </c>
      <c r="S25" s="263" t="e">
        <f>#REF!+#REF!</f>
        <v>#REF!</v>
      </c>
      <c r="T25" s="263" t="e">
        <f>#REF!+#REF!</f>
        <v>#REF!</v>
      </c>
      <c r="U25" s="263"/>
      <c r="V25" s="263" t="e">
        <f>#REF!+#REF!</f>
        <v>#REF!</v>
      </c>
      <c r="W25" s="263" t="e">
        <f>#REF!+#REF!</f>
        <v>#REF!</v>
      </c>
      <c r="X25" s="263"/>
      <c r="Y25" s="263" t="e">
        <f>#REF!+#REF!</f>
        <v>#REF!</v>
      </c>
      <c r="Z25" s="263" t="e">
        <f>#REF!+#REF!</f>
        <v>#REF!</v>
      </c>
      <c r="AA25" s="263"/>
      <c r="AB25" s="263"/>
    </row>
    <row r="26" spans="2:28" s="265" customFormat="1" ht="15">
      <c r="B26" s="262">
        <v>22</v>
      </c>
      <c r="C26" s="262" t="s">
        <v>339</v>
      </c>
      <c r="D26" s="192"/>
      <c r="E26" s="318"/>
      <c r="F26" s="267" t="e">
        <f>Htrang!#REF!</f>
        <v>#REF!</v>
      </c>
      <c r="G26" s="263" t="e">
        <f>Htrang!#REF!+589</f>
        <v>#REF!</v>
      </c>
      <c r="H26" s="268" t="e">
        <f>G26/F26*100</f>
        <v>#REF!</v>
      </c>
      <c r="I26" s="269" t="e">
        <f t="shared" si="14"/>
        <v>#REF!</v>
      </c>
      <c r="J26" s="270" t="e">
        <f t="shared" si="1"/>
        <v>#REF!</v>
      </c>
      <c r="K26" s="263" t="e">
        <f>Htrang!#REF!+589*18</f>
        <v>#REF!</v>
      </c>
      <c r="L26" s="263"/>
      <c r="M26" s="263"/>
      <c r="N26" s="275">
        <v>0.002</v>
      </c>
      <c r="O26" s="271" t="e">
        <f>K26*N26</f>
        <v>#REF!</v>
      </c>
      <c r="P26" s="271" t="e">
        <f aca="true" t="shared" si="15" ref="P26:P34">O26*0.25</f>
        <v>#REF!</v>
      </c>
      <c r="Q26" s="271" t="e">
        <f aca="true" t="shared" si="16" ref="Q26:Q34">O26+P26</f>
        <v>#REF!</v>
      </c>
      <c r="R26" s="271" t="e">
        <f aca="true" t="shared" si="17" ref="R26:R34">P26+O26*1.52</f>
        <v>#REF!</v>
      </c>
      <c r="S26" s="272" t="e">
        <f aca="true" t="shared" si="18" ref="S26:S34">Q26</f>
        <v>#REF!</v>
      </c>
      <c r="T26" s="273" t="e">
        <f aca="true" t="shared" si="19" ref="T26:T34">S26*1000/24/60/60</f>
        <v>#REF!</v>
      </c>
      <c r="U26" s="275">
        <v>0.01</v>
      </c>
      <c r="V26" s="271" t="e">
        <f>U26*K26</f>
        <v>#REF!</v>
      </c>
      <c r="W26" s="274" t="e">
        <f aca="true" t="shared" si="20" ref="W26:W34">V26/0.42/1000</f>
        <v>#REF!</v>
      </c>
      <c r="X26" s="264">
        <v>0.025</v>
      </c>
      <c r="Y26" s="272" t="e">
        <f>K26*0.025*0.5</f>
        <v>#REF!</v>
      </c>
      <c r="Z26" s="272" t="e">
        <f aca="true" t="shared" si="21" ref="Z26:Z34">Y26/0.9</f>
        <v>#REF!</v>
      </c>
      <c r="AA26" s="263"/>
      <c r="AB26" s="263"/>
    </row>
    <row r="27" spans="2:28" s="265" customFormat="1" ht="15">
      <c r="B27" s="262">
        <v>23</v>
      </c>
      <c r="C27" s="262" t="s">
        <v>340</v>
      </c>
      <c r="D27" s="192"/>
      <c r="E27" s="282"/>
      <c r="F27" s="267" t="e">
        <f>Htrang!#REF!</f>
        <v>#REF!</v>
      </c>
      <c r="G27" s="263" t="e">
        <f>F27*H27/100</f>
        <v>#REF!</v>
      </c>
      <c r="H27" s="268">
        <v>40</v>
      </c>
      <c r="I27" s="269" t="e">
        <f t="shared" si="14"/>
        <v>#REF!</v>
      </c>
      <c r="J27" s="270" t="e">
        <f t="shared" si="1"/>
        <v>#REF!</v>
      </c>
      <c r="K27" s="263">
        <v>31400</v>
      </c>
      <c r="L27" s="263">
        <f>K27/2</f>
        <v>15700</v>
      </c>
      <c r="M27" s="263">
        <f>L27*0.7/30</f>
        <v>366.3333333333333</v>
      </c>
      <c r="N27" s="275" t="s">
        <v>373</v>
      </c>
      <c r="O27" s="263">
        <f>(K27-L27)*0.002+M27*0.2</f>
        <v>104.66666666666667</v>
      </c>
      <c r="P27" s="271">
        <f t="shared" si="15"/>
        <v>26.166666666666668</v>
      </c>
      <c r="Q27" s="271">
        <f t="shared" si="16"/>
        <v>130.83333333333334</v>
      </c>
      <c r="R27" s="271">
        <f t="shared" si="17"/>
        <v>185.26</v>
      </c>
      <c r="S27" s="272">
        <f t="shared" si="18"/>
        <v>130.83333333333334</v>
      </c>
      <c r="T27" s="273">
        <f t="shared" si="19"/>
        <v>1.514274691358025</v>
      </c>
      <c r="U27" s="263" t="s">
        <v>372</v>
      </c>
      <c r="V27" s="263">
        <f>(K27-L27)*0.01+M27*1.3</f>
        <v>633.2333333333333</v>
      </c>
      <c r="W27" s="274">
        <f t="shared" si="20"/>
        <v>1.5076984126984128</v>
      </c>
      <c r="X27" s="263" t="s">
        <v>374</v>
      </c>
      <c r="Y27" s="263">
        <f>(K27-L27)*0.025*0.5+M27/4*4*0.7</f>
        <v>452.6833333333333</v>
      </c>
      <c r="Z27" s="272">
        <f t="shared" si="21"/>
        <v>502.9814814814814</v>
      </c>
      <c r="AA27" s="263"/>
      <c r="AB27" s="263"/>
    </row>
    <row r="28" spans="2:28" s="297" customFormat="1" ht="15">
      <c r="B28" s="290">
        <v>24</v>
      </c>
      <c r="C28" s="290" t="s">
        <v>341</v>
      </c>
      <c r="D28" s="192"/>
      <c r="E28" s="326"/>
      <c r="F28" s="292" t="e">
        <f>Htrang!#REF!</f>
        <v>#REF!</v>
      </c>
      <c r="G28" s="293" t="e">
        <f>F28*H28/100</f>
        <v>#REF!</v>
      </c>
      <c r="H28" s="294">
        <v>40</v>
      </c>
      <c r="I28" s="295" t="e">
        <f t="shared" si="14"/>
        <v>#REF!</v>
      </c>
      <c r="J28" s="296" t="e">
        <f t="shared" si="1"/>
        <v>#REF!</v>
      </c>
      <c r="K28" s="293" t="e">
        <f>Htrang!#REF!+521</f>
        <v>#REF!</v>
      </c>
      <c r="L28" s="293" t="e">
        <f>Htrang!#REF!</f>
        <v>#REF!</v>
      </c>
      <c r="M28" s="293" t="e">
        <f>L28*0.7/30</f>
        <v>#REF!</v>
      </c>
      <c r="N28" s="299" t="s">
        <v>373</v>
      </c>
      <c r="O28" s="293" t="e">
        <f>(K28-L28)*0.002+M28*0.2</f>
        <v>#REF!</v>
      </c>
      <c r="P28" s="300" t="e">
        <f t="shared" si="15"/>
        <v>#REF!</v>
      </c>
      <c r="Q28" s="300" t="e">
        <f t="shared" si="16"/>
        <v>#REF!</v>
      </c>
      <c r="R28" s="300" t="e">
        <f t="shared" si="17"/>
        <v>#REF!</v>
      </c>
      <c r="S28" s="301" t="e">
        <f t="shared" si="18"/>
        <v>#REF!</v>
      </c>
      <c r="T28" s="302" t="e">
        <f t="shared" si="19"/>
        <v>#REF!</v>
      </c>
      <c r="U28" s="293" t="s">
        <v>372</v>
      </c>
      <c r="V28" s="293" t="e">
        <f>(K28-L28)*0.01+M28*1.3</f>
        <v>#REF!</v>
      </c>
      <c r="W28" s="303" t="e">
        <f t="shared" si="20"/>
        <v>#REF!</v>
      </c>
      <c r="X28" s="293" t="s">
        <v>374</v>
      </c>
      <c r="Y28" s="293" t="e">
        <f>(K28-L28)*0.025*0.5+M28/4*4*0.7</f>
        <v>#REF!</v>
      </c>
      <c r="Z28" s="301" t="e">
        <f t="shared" si="21"/>
        <v>#REF!</v>
      </c>
      <c r="AA28" s="293"/>
      <c r="AB28" s="293"/>
    </row>
    <row r="29" spans="2:28" s="265" customFormat="1" ht="15">
      <c r="B29" s="262">
        <v>25</v>
      </c>
      <c r="C29" s="262" t="s">
        <v>342</v>
      </c>
      <c r="D29" s="192"/>
      <c r="E29" s="282"/>
      <c r="F29" s="267" t="e">
        <f>Htrang!#REF!</f>
        <v>#REF!</v>
      </c>
      <c r="G29" s="263" t="e">
        <f>F29*H29/100</f>
        <v>#REF!</v>
      </c>
      <c r="H29" s="268">
        <v>40</v>
      </c>
      <c r="I29" s="269">
        <v>12</v>
      </c>
      <c r="J29" s="270" t="e">
        <f t="shared" si="1"/>
        <v>#REF!</v>
      </c>
      <c r="K29" s="263" t="e">
        <f>G29*I29</f>
        <v>#REF!</v>
      </c>
      <c r="L29" s="263"/>
      <c r="M29" s="263"/>
      <c r="N29" s="275">
        <v>0.002</v>
      </c>
      <c r="O29" s="271" t="e">
        <f>K29*N29</f>
        <v>#REF!</v>
      </c>
      <c r="P29" s="271" t="e">
        <f t="shared" si="15"/>
        <v>#REF!</v>
      </c>
      <c r="Q29" s="271" t="e">
        <f t="shared" si="16"/>
        <v>#REF!</v>
      </c>
      <c r="R29" s="271" t="e">
        <f t="shared" si="17"/>
        <v>#REF!</v>
      </c>
      <c r="S29" s="272" t="e">
        <f t="shared" si="18"/>
        <v>#REF!</v>
      </c>
      <c r="T29" s="273" t="e">
        <f t="shared" si="19"/>
        <v>#REF!</v>
      </c>
      <c r="U29" s="275">
        <v>0.01</v>
      </c>
      <c r="V29" s="271" t="e">
        <f>U29*K29</f>
        <v>#REF!</v>
      </c>
      <c r="W29" s="274" t="e">
        <f t="shared" si="20"/>
        <v>#REF!</v>
      </c>
      <c r="X29" s="264">
        <v>0.025</v>
      </c>
      <c r="Y29" s="272" t="e">
        <f>K29*0.025*0.5</f>
        <v>#REF!</v>
      </c>
      <c r="Z29" s="272" t="e">
        <f t="shared" si="21"/>
        <v>#REF!</v>
      </c>
      <c r="AA29" s="263"/>
      <c r="AB29" s="263"/>
    </row>
    <row r="30" spans="2:28" s="297" customFormat="1" ht="15">
      <c r="B30" s="290">
        <v>26</v>
      </c>
      <c r="C30" s="290" t="s">
        <v>343</v>
      </c>
      <c r="D30" s="291"/>
      <c r="E30" s="326"/>
      <c r="F30" s="292">
        <f>Htrang!F79</f>
        <v>6730</v>
      </c>
      <c r="G30" s="293">
        <f>F30*H30/100</f>
        <v>2692</v>
      </c>
      <c r="H30" s="294">
        <v>40</v>
      </c>
      <c r="I30" s="295">
        <f>L30/G30</f>
        <v>0.0003714710252600297</v>
      </c>
      <c r="J30" s="296">
        <f t="shared" si="1"/>
        <v>0.25570579494799406</v>
      </c>
      <c r="K30" s="293">
        <f>Htrang!K79+298</f>
        <v>1720.9</v>
      </c>
      <c r="L30" s="293">
        <f>Htrang!L79</f>
        <v>1</v>
      </c>
      <c r="M30" s="293">
        <f>L30*0.7/30</f>
        <v>0.02333333333333333</v>
      </c>
      <c r="N30" s="299" t="s">
        <v>373</v>
      </c>
      <c r="O30" s="293">
        <f>(K30-L30)*0.002+M30*0.2</f>
        <v>3.444466666666667</v>
      </c>
      <c r="P30" s="300">
        <f t="shared" si="15"/>
        <v>0.8611166666666668</v>
      </c>
      <c r="Q30" s="300">
        <f t="shared" si="16"/>
        <v>4.305583333333334</v>
      </c>
      <c r="R30" s="300">
        <f t="shared" si="17"/>
        <v>6.096706000000001</v>
      </c>
      <c r="S30" s="301">
        <f t="shared" si="18"/>
        <v>4.305583333333334</v>
      </c>
      <c r="T30" s="302">
        <f t="shared" si="19"/>
        <v>0.04983314043209877</v>
      </c>
      <c r="U30" s="293" t="s">
        <v>372</v>
      </c>
      <c r="V30" s="293">
        <f>(K30-L30)*0.01+M30*1.3</f>
        <v>17.229333333333336</v>
      </c>
      <c r="W30" s="303">
        <f t="shared" si="20"/>
        <v>0.04102222222222223</v>
      </c>
      <c r="X30" s="293" t="s">
        <v>374</v>
      </c>
      <c r="Y30" s="293">
        <f>(K30-L30)*0.025*0.5+M30/4*4*0.7</f>
        <v>21.515083333333333</v>
      </c>
      <c r="Z30" s="301">
        <f t="shared" si="21"/>
        <v>23.90564814814815</v>
      </c>
      <c r="AA30" s="293"/>
      <c r="AB30" s="293"/>
    </row>
    <row r="31" spans="2:28" s="297" customFormat="1" ht="15">
      <c r="B31" s="290">
        <v>27</v>
      </c>
      <c r="C31" s="290" t="s">
        <v>344</v>
      </c>
      <c r="D31" s="291"/>
      <c r="E31" s="326"/>
      <c r="F31" s="292" t="e">
        <f>Htrang!#REF!</f>
        <v>#REF!</v>
      </c>
      <c r="G31" s="293" t="e">
        <f>F31*H31/100</f>
        <v>#REF!</v>
      </c>
      <c r="H31" s="294">
        <v>40</v>
      </c>
      <c r="I31" s="295"/>
      <c r="J31" s="296"/>
      <c r="K31" s="293" t="e">
        <f>Htrang!#REF!+356</f>
        <v>#REF!</v>
      </c>
      <c r="L31" s="293" t="e">
        <f>Htrang!#REF!</f>
        <v>#REF!</v>
      </c>
      <c r="M31" s="293" t="e">
        <f>L31*0.7/30</f>
        <v>#REF!</v>
      </c>
      <c r="N31" s="299" t="s">
        <v>373</v>
      </c>
      <c r="O31" s="293" t="e">
        <f>(K31-L31)*0.002+M31*0.2</f>
        <v>#REF!</v>
      </c>
      <c r="P31" s="300" t="e">
        <f t="shared" si="15"/>
        <v>#REF!</v>
      </c>
      <c r="Q31" s="300" t="e">
        <f t="shared" si="16"/>
        <v>#REF!</v>
      </c>
      <c r="R31" s="300" t="e">
        <f t="shared" si="17"/>
        <v>#REF!</v>
      </c>
      <c r="S31" s="301" t="e">
        <f t="shared" si="18"/>
        <v>#REF!</v>
      </c>
      <c r="T31" s="302" t="e">
        <f t="shared" si="19"/>
        <v>#REF!</v>
      </c>
      <c r="U31" s="293" t="s">
        <v>372</v>
      </c>
      <c r="V31" s="293" t="e">
        <f>(K31-L31)*0.01+M31*1.3</f>
        <v>#REF!</v>
      </c>
      <c r="W31" s="303" t="e">
        <f t="shared" si="20"/>
        <v>#REF!</v>
      </c>
      <c r="X31" s="293" t="s">
        <v>374</v>
      </c>
      <c r="Y31" s="293" t="e">
        <f>(K31-L31)*0.025*0.5+M31/4*4*0.7</f>
        <v>#REF!</v>
      </c>
      <c r="Z31" s="301" t="e">
        <f t="shared" si="21"/>
        <v>#REF!</v>
      </c>
      <c r="AA31" s="293"/>
      <c r="AB31" s="293"/>
    </row>
    <row r="32" spans="2:28" s="265" customFormat="1" ht="15">
      <c r="B32" s="262">
        <v>28</v>
      </c>
      <c r="C32" s="262" t="s">
        <v>345</v>
      </c>
      <c r="D32" s="192"/>
      <c r="E32" s="282"/>
      <c r="F32" s="267">
        <f>Htrang!F85</f>
        <v>10722</v>
      </c>
      <c r="G32" s="263">
        <v>280</v>
      </c>
      <c r="H32" s="268">
        <f>G32/F32*100</f>
        <v>2.6114530871106134</v>
      </c>
      <c r="I32" s="269">
        <v>2</v>
      </c>
      <c r="J32" s="270">
        <f>K32/F32</f>
        <v>0.05222906174221227</v>
      </c>
      <c r="K32" s="263">
        <f>G32*I32</f>
        <v>560</v>
      </c>
      <c r="L32" s="263"/>
      <c r="M32" s="263"/>
      <c r="N32" s="275">
        <v>0.002</v>
      </c>
      <c r="O32" s="271">
        <f>K32*N32</f>
        <v>1.12</v>
      </c>
      <c r="P32" s="271">
        <f t="shared" si="15"/>
        <v>0.28</v>
      </c>
      <c r="Q32" s="271">
        <f t="shared" si="16"/>
        <v>1.4000000000000001</v>
      </c>
      <c r="R32" s="271">
        <f t="shared" si="17"/>
        <v>1.9824000000000002</v>
      </c>
      <c r="S32" s="272">
        <f t="shared" si="18"/>
        <v>1.4000000000000001</v>
      </c>
      <c r="T32" s="273">
        <f t="shared" si="19"/>
        <v>0.016203703703703706</v>
      </c>
      <c r="U32" s="275">
        <v>0.01</v>
      </c>
      <c r="V32" s="271">
        <f>U32*K32</f>
        <v>5.6000000000000005</v>
      </c>
      <c r="W32" s="274">
        <f t="shared" si="20"/>
        <v>0.013333333333333336</v>
      </c>
      <c r="X32" s="264">
        <v>0.025</v>
      </c>
      <c r="Y32" s="272">
        <f>K32*0.025*0.5</f>
        <v>7</v>
      </c>
      <c r="Z32" s="272">
        <f t="shared" si="21"/>
        <v>7.777777777777778</v>
      </c>
      <c r="AA32" s="263"/>
      <c r="AB32" s="263"/>
    </row>
    <row r="33" spans="2:28" s="265" customFormat="1" ht="15">
      <c r="B33" s="262">
        <v>29</v>
      </c>
      <c r="C33" s="262" t="s">
        <v>346</v>
      </c>
      <c r="D33" s="192"/>
      <c r="E33" s="282"/>
      <c r="F33" s="267">
        <f>Htrang!F88</f>
        <v>7155</v>
      </c>
      <c r="G33" s="263">
        <v>1388</v>
      </c>
      <c r="H33" s="268">
        <f>G33/F33*100</f>
        <v>19.399021663172604</v>
      </c>
      <c r="I33" s="269">
        <v>2</v>
      </c>
      <c r="J33" s="270">
        <f>K33/F33</f>
        <v>0.3879804332634521</v>
      </c>
      <c r="K33" s="263">
        <f>G33*I33</f>
        <v>2776</v>
      </c>
      <c r="L33" s="263"/>
      <c r="M33" s="263"/>
      <c r="N33" s="275">
        <v>0.002</v>
      </c>
      <c r="O33" s="271">
        <f>K33*N33</f>
        <v>5.5520000000000005</v>
      </c>
      <c r="P33" s="271">
        <f t="shared" si="15"/>
        <v>1.3880000000000001</v>
      </c>
      <c r="Q33" s="271">
        <f t="shared" si="16"/>
        <v>6.94</v>
      </c>
      <c r="R33" s="271">
        <f t="shared" si="17"/>
        <v>9.82704</v>
      </c>
      <c r="S33" s="272">
        <f t="shared" si="18"/>
        <v>6.94</v>
      </c>
      <c r="T33" s="273">
        <f t="shared" si="19"/>
        <v>0.08032407407407408</v>
      </c>
      <c r="U33" s="275">
        <v>0.01</v>
      </c>
      <c r="V33" s="271">
        <f>U33*K33</f>
        <v>27.76</v>
      </c>
      <c r="W33" s="274">
        <f t="shared" si="20"/>
        <v>0.0660952380952381</v>
      </c>
      <c r="X33" s="264">
        <v>0.025</v>
      </c>
      <c r="Y33" s="272">
        <f>K33*0.025*0.5</f>
        <v>34.7</v>
      </c>
      <c r="Z33" s="272">
        <f t="shared" si="21"/>
        <v>38.55555555555556</v>
      </c>
      <c r="AA33" s="263"/>
      <c r="AB33" s="263"/>
    </row>
    <row r="34" spans="2:28" s="265" customFormat="1" ht="15">
      <c r="B34" s="262">
        <v>30</v>
      </c>
      <c r="C34" s="262" t="s">
        <v>347</v>
      </c>
      <c r="D34" s="192"/>
      <c r="E34" s="282"/>
      <c r="F34" s="267">
        <f>Htrang!F92</f>
        <v>13660</v>
      </c>
      <c r="G34" s="263">
        <v>2842</v>
      </c>
      <c r="H34" s="268">
        <f>G34/F34*100</f>
        <v>20.805270863836018</v>
      </c>
      <c r="I34" s="269">
        <v>3</v>
      </c>
      <c r="J34" s="270">
        <f>K34/F34</f>
        <v>0.6241581259150806</v>
      </c>
      <c r="K34" s="263">
        <f>G34*I34</f>
        <v>8526</v>
      </c>
      <c r="L34" s="263"/>
      <c r="M34" s="263"/>
      <c r="N34" s="275">
        <v>0.002</v>
      </c>
      <c r="O34" s="271">
        <f>K34*N34</f>
        <v>17.052</v>
      </c>
      <c r="P34" s="271">
        <f t="shared" si="15"/>
        <v>4.263</v>
      </c>
      <c r="Q34" s="271">
        <f t="shared" si="16"/>
        <v>21.314999999999998</v>
      </c>
      <c r="R34" s="271">
        <f t="shared" si="17"/>
        <v>30.18204</v>
      </c>
      <c r="S34" s="272">
        <f t="shared" si="18"/>
        <v>21.314999999999998</v>
      </c>
      <c r="T34" s="273">
        <f t="shared" si="19"/>
        <v>0.24670138888888887</v>
      </c>
      <c r="U34" s="275">
        <v>0.01</v>
      </c>
      <c r="V34" s="271">
        <f>U34*K34</f>
        <v>85.26</v>
      </c>
      <c r="W34" s="274">
        <f t="shared" si="20"/>
        <v>0.20300000000000004</v>
      </c>
      <c r="X34" s="264">
        <v>0.025</v>
      </c>
      <c r="Y34" s="272">
        <f>K34*0.025*0.5</f>
        <v>106.575</v>
      </c>
      <c r="Z34" s="272">
        <f t="shared" si="21"/>
        <v>118.41666666666667</v>
      </c>
      <c r="AA34" s="263"/>
      <c r="AB34" s="263"/>
    </row>
    <row r="35" spans="2:28" s="265" customFormat="1" ht="15">
      <c r="B35" s="262">
        <v>31</v>
      </c>
      <c r="C35" s="262" t="s">
        <v>348</v>
      </c>
      <c r="D35" s="192"/>
      <c r="E35" s="282"/>
      <c r="F35" s="267">
        <f>Htrang!F96</f>
        <v>14164</v>
      </c>
      <c r="G35" s="263"/>
      <c r="H35" s="268"/>
      <c r="I35" s="269"/>
      <c r="J35" s="270"/>
      <c r="K35" s="263"/>
      <c r="L35" s="263"/>
      <c r="M35" s="263"/>
      <c r="N35" s="275"/>
      <c r="O35" s="263" t="e">
        <f>#REF!+#REF!</f>
        <v>#REF!</v>
      </c>
      <c r="P35" s="263" t="e">
        <f>#REF!+#REF!</f>
        <v>#REF!</v>
      </c>
      <c r="Q35" s="263" t="e">
        <f>#REF!+#REF!</f>
        <v>#REF!</v>
      </c>
      <c r="R35" s="263" t="e">
        <f>#REF!+#REF!</f>
        <v>#REF!</v>
      </c>
      <c r="S35" s="263"/>
      <c r="T35" s="263"/>
      <c r="U35" s="263"/>
      <c r="V35" s="263" t="e">
        <f>#REF!+#REF!</f>
        <v>#REF!</v>
      </c>
      <c r="W35" s="289" t="e">
        <f>#REF!+#REF!</f>
        <v>#REF!</v>
      </c>
      <c r="X35" s="263"/>
      <c r="Y35" s="263" t="e">
        <f>#REF!+#REF!</f>
        <v>#REF!</v>
      </c>
      <c r="Z35" s="263" t="e">
        <f>#REF!+#REF!</f>
        <v>#REF!</v>
      </c>
      <c r="AA35" s="263"/>
      <c r="AB35" s="263"/>
    </row>
    <row r="36" spans="2:28" s="265" customFormat="1" ht="15">
      <c r="B36" s="262">
        <v>32</v>
      </c>
      <c r="C36" s="262" t="s">
        <v>377</v>
      </c>
      <c r="D36" s="262"/>
      <c r="E36" s="282"/>
      <c r="F36" s="267">
        <f>Htrang!F100</f>
        <v>18562</v>
      </c>
      <c r="G36" s="263"/>
      <c r="H36" s="268"/>
      <c r="I36" s="269"/>
      <c r="J36" s="270"/>
      <c r="K36" s="263"/>
      <c r="L36" s="263"/>
      <c r="M36" s="263"/>
      <c r="N36" s="275">
        <v>0.0005</v>
      </c>
      <c r="O36" s="263">
        <f>N36*F36</f>
        <v>9.281</v>
      </c>
      <c r="P36" s="271">
        <f>O36*0.25</f>
        <v>2.32025</v>
      </c>
      <c r="Q36" s="271">
        <f>O36+P36</f>
        <v>11.60125</v>
      </c>
      <c r="R36" s="271">
        <f>P36+O36*1.52</f>
        <v>16.427370000000003</v>
      </c>
      <c r="S36" s="263"/>
      <c r="T36" s="263"/>
      <c r="U36" s="263">
        <v>100</v>
      </c>
      <c r="V36" s="263">
        <f>F36/10000*U36</f>
        <v>185.62</v>
      </c>
      <c r="W36" s="274">
        <f>V36/0.42/1000</f>
        <v>0.441952380952381</v>
      </c>
      <c r="X36" s="263">
        <v>12</v>
      </c>
      <c r="Y36" s="263">
        <f>F36/10000*X36</f>
        <v>22.2744</v>
      </c>
      <c r="Z36" s="272">
        <f>Y36/0.9</f>
        <v>24.749333333333333</v>
      </c>
      <c r="AA36" s="263"/>
      <c r="AB36" s="263"/>
    </row>
    <row r="37" spans="2:28" s="265" customFormat="1" ht="15">
      <c r="B37" s="281">
        <v>33</v>
      </c>
      <c r="C37" s="262" t="s">
        <v>404</v>
      </c>
      <c r="D37" s="262" t="s">
        <v>359</v>
      </c>
      <c r="E37" s="282"/>
      <c r="F37" s="267" t="e">
        <f>F38-F5-F6-F7-F8-F9-F10-F11-F12-F13-F14-F15-F16-F17-F18-F19-F20-F21-F22-F23-F24-F25-F26-F27-F28-F29-F30-F31-F32-F33-F34-F35-F36</f>
        <v>#REF!</v>
      </c>
      <c r="G37" s="263"/>
      <c r="H37" s="268"/>
      <c r="I37" s="269"/>
      <c r="J37" s="270"/>
      <c r="K37" s="263"/>
      <c r="L37" s="263"/>
      <c r="M37" s="263"/>
      <c r="N37" s="288">
        <v>0.0005</v>
      </c>
      <c r="O37" s="284" t="e">
        <f>N37*F37</f>
        <v>#REF!</v>
      </c>
      <c r="P37" s="287" t="e">
        <f>O37*0.25</f>
        <v>#REF!</v>
      </c>
      <c r="Q37" s="287" t="e">
        <f>O37+P37</f>
        <v>#REF!</v>
      </c>
      <c r="R37" s="287" t="e">
        <f>P37+O37*1.52</f>
        <v>#REF!</v>
      </c>
      <c r="S37" s="263"/>
      <c r="T37" s="263"/>
      <c r="U37" s="263">
        <v>100</v>
      </c>
      <c r="V37" s="263" t="e">
        <f>F37/10000*U37</f>
        <v>#REF!</v>
      </c>
      <c r="W37" s="274" t="e">
        <f>V37/0.42/1000</f>
        <v>#REF!</v>
      </c>
      <c r="X37" s="263">
        <v>12</v>
      </c>
      <c r="Y37" s="263" t="e">
        <f>F37/10000*X37</f>
        <v>#REF!</v>
      </c>
      <c r="Z37" s="272" t="e">
        <f>Y37/0.9</f>
        <v>#REF!</v>
      </c>
      <c r="AA37" s="263"/>
      <c r="AB37" s="263"/>
    </row>
    <row r="38" spans="2:28" s="265" customFormat="1" ht="15">
      <c r="B38" s="262"/>
      <c r="C38" s="281"/>
      <c r="D38" s="262" t="s">
        <v>349</v>
      </c>
      <c r="E38" s="282"/>
      <c r="F38" s="267">
        <f>Htrang!F113</f>
        <v>488140</v>
      </c>
      <c r="G38" s="263" t="e">
        <f>G5+G6+G7+G8+G9+G10+G11+G12+G13+G14+G15+G16+G17+G18+G19+G20+G21+G22+G23+G24+G25+G26+G27+G28+G29+G30+G31+G32+G33+G34+G35+G36+G37</f>
        <v>#REF!</v>
      </c>
      <c r="H38" s="268" t="e">
        <f>G38/F38*100</f>
        <v>#REF!</v>
      </c>
      <c r="I38" s="269" t="e">
        <f>K38/G38</f>
        <v>#REF!</v>
      </c>
      <c r="J38" s="270" t="e">
        <f>K38/F38</f>
        <v>#REF!</v>
      </c>
      <c r="K38" s="263" t="e">
        <f>K5+K6+K7+K8+K9+K10+K11+K12+K13+K14+K15+K16+K17+K18+K19+K20+K21+K22+K23+K24+K25+K26+K27+K28+K29+K30+K31+K32+K33+K34+K35+K36+K37</f>
        <v>#REF!</v>
      </c>
      <c r="L38" s="263" t="e">
        <f>L5+L6+L7+L8+L9+L10+L11+L12+L13+L14+L15+L16+L17+L18+L19+L20+L21+L22+L23+L24+L25+L26+L27+L28+L29+L30+L31+L32+L33+L34+L35+L36+L37</f>
        <v>#REF!</v>
      </c>
      <c r="M38" s="263" t="e">
        <f>M5+M6+M7+M8+M9+M10+M11+M12+M13+M14+M15+M16+M17+M18+M19+M20+M21+M22+M23+M24+M25+M26+M27+M28+M29+M30+M31+M32+M33+M34+M35+M36+M37</f>
        <v>#REF!</v>
      </c>
      <c r="N38" s="275"/>
      <c r="O38" s="263" t="e">
        <f aca="true" t="shared" si="22" ref="O38:T38">O5+O6+O7+O8+O9+O10+O11+O12+O13+O14+O15+O16+O17+O18+O19+O20+O21+O22+O23+O24+O25+O26+O27+O28+O29+O30+O31+O32+O33+O34+O35+O36+O37</f>
        <v>#REF!</v>
      </c>
      <c r="P38" s="263" t="e">
        <f t="shared" si="22"/>
        <v>#REF!</v>
      </c>
      <c r="Q38" s="263" t="e">
        <f t="shared" si="22"/>
        <v>#REF!</v>
      </c>
      <c r="R38" s="263" t="e">
        <f t="shared" si="22"/>
        <v>#REF!</v>
      </c>
      <c r="S38" s="263" t="e">
        <f t="shared" si="22"/>
        <v>#REF!</v>
      </c>
      <c r="T38" s="289" t="e">
        <f t="shared" si="22"/>
        <v>#REF!</v>
      </c>
      <c r="U38" s="263"/>
      <c r="V38" s="263" t="e">
        <f>V5+V6+V7+V8+V9+V10+V11+V12+V13+V14+V15+V16+V17+V18+V19+V20+V21+V22+V23+V24+V25+V26+V27+V28+V29+V30+V31+V32+V33+V34+V35+V36+V37</f>
        <v>#REF!</v>
      </c>
      <c r="W38" s="263" t="e">
        <f>W5+W6+W7+W8+W9+W10+W11+W12+W13+W14+W15+W16+W17+W18+W19+W20+W21+W22+W23+W24+W25+W26+W27+W28+W29+W30+W31+W32+W33+W34+W35+W36+W37</f>
        <v>#REF!</v>
      </c>
      <c r="X38" s="263"/>
      <c r="Y38" s="263" t="e">
        <f>Y5+Y6+Y7+Y8+Y9+Y10+Y11+Y12+Y13+Y14+Y15+Y16+Y17+Y18+Y19+Y20+Y21+Y22+Y23+Y24+Y25+Y26+Y27+Y28+Y29+Y30+Y31+Y32+Y33+Y34+Y35+Y36+Y37</f>
        <v>#REF!</v>
      </c>
      <c r="Z38" s="263" t="e">
        <f>Z5+Z6+Z7+Z8+Z9+Z10+Z11+Z12+Z13+Z14+Z15+Z16+Z17+Z18+Z19+Z20+Z21+Z22+Z23+Z24+Z25+Z26+Z27+Z28+Z29+Z30+Z31+Z32+Z33+Z34+Z35+Z36+Z37</f>
        <v>#REF!</v>
      </c>
      <c r="AA38" s="263"/>
      <c r="AB38" s="263"/>
    </row>
    <row r="39" spans="2:28" ht="29.25" customHeight="1">
      <c r="B39" s="279"/>
      <c r="C39" s="315"/>
      <c r="D39" s="281"/>
      <c r="E39" s="281"/>
      <c r="F39" s="266" t="s">
        <v>306</v>
      </c>
      <c r="G39" s="266" t="s">
        <v>307</v>
      </c>
      <c r="H39" s="266" t="s">
        <v>43</v>
      </c>
      <c r="I39" s="266" t="s">
        <v>387</v>
      </c>
      <c r="J39" s="266" t="s">
        <v>44</v>
      </c>
      <c r="K39" s="266" t="s">
        <v>46</v>
      </c>
      <c r="L39" s="266" t="s">
        <v>363</v>
      </c>
      <c r="M39" s="266" t="s">
        <v>308</v>
      </c>
      <c r="N39" s="266" t="s">
        <v>370</v>
      </c>
      <c r="O39" s="275" t="s">
        <v>0</v>
      </c>
      <c r="P39" s="275" t="s">
        <v>1</v>
      </c>
      <c r="Q39" s="275" t="s">
        <v>2</v>
      </c>
      <c r="R39" s="275" t="s">
        <v>3</v>
      </c>
      <c r="S39" s="422" t="s">
        <v>31</v>
      </c>
      <c r="T39" s="422"/>
      <c r="U39" s="266" t="s">
        <v>375</v>
      </c>
      <c r="V39" s="422" t="s">
        <v>30</v>
      </c>
      <c r="W39" s="422"/>
      <c r="X39" s="266" t="s">
        <v>371</v>
      </c>
      <c r="Y39" s="275" t="s">
        <v>5</v>
      </c>
      <c r="Z39" s="275" t="s">
        <v>4</v>
      </c>
      <c r="AA39" s="316"/>
      <c r="AB39" s="317"/>
    </row>
    <row r="40" ht="14.25">
      <c r="M40" s="260" t="e">
        <f>L38/M38</f>
        <v>#REF!</v>
      </c>
    </row>
    <row r="41" spans="12:13" ht="14.25">
      <c r="L41" s="260" t="s">
        <v>514</v>
      </c>
      <c r="M41" s="327" t="e">
        <f>#REF!+#REF!+M28+M30+M31</f>
        <v>#REF!</v>
      </c>
    </row>
    <row r="42" spans="12:13" ht="14.25">
      <c r="L42" s="327" t="e">
        <f>K38-L38</f>
        <v>#REF!</v>
      </c>
      <c r="M42" s="327"/>
    </row>
    <row r="43" spans="3:6" ht="15.75">
      <c r="C43" s="339" t="s">
        <v>6</v>
      </c>
      <c r="D43" s="340" t="s">
        <v>552</v>
      </c>
      <c r="E43" s="340" t="s">
        <v>311</v>
      </c>
      <c r="F43" s="340" t="s">
        <v>553</v>
      </c>
    </row>
    <row r="44" spans="3:6" ht="15.75">
      <c r="C44" s="341">
        <v>1</v>
      </c>
      <c r="D44" s="341" t="s">
        <v>554</v>
      </c>
      <c r="E44" s="337" t="s">
        <v>94</v>
      </c>
      <c r="F44" s="339"/>
    </row>
    <row r="45" spans="3:6" ht="15.75">
      <c r="C45" s="341">
        <v>2</v>
      </c>
      <c r="D45" s="341" t="s">
        <v>555</v>
      </c>
      <c r="E45" s="337" t="s">
        <v>94</v>
      </c>
      <c r="F45" s="340"/>
    </row>
    <row r="46" spans="3:6" ht="42.75">
      <c r="C46" s="332" t="s">
        <v>45</v>
      </c>
      <c r="D46" s="332" t="s">
        <v>562</v>
      </c>
      <c r="E46" s="342"/>
      <c r="F46" s="343" t="e">
        <f>#REF!/428487*100</f>
        <v>#REF!</v>
      </c>
    </row>
    <row r="47" spans="3:6" ht="15">
      <c r="C47" s="332" t="s">
        <v>47</v>
      </c>
      <c r="D47" s="332" t="s">
        <v>471</v>
      </c>
      <c r="E47" s="342"/>
      <c r="F47" s="343" t="e">
        <f>#REF!/428487*100</f>
        <v>#REF!</v>
      </c>
    </row>
    <row r="48" spans="3:6" ht="15">
      <c r="C48" s="332" t="s">
        <v>53</v>
      </c>
      <c r="D48" s="332" t="s">
        <v>472</v>
      </c>
      <c r="E48" s="13"/>
      <c r="F48" s="343" t="e">
        <f>#REF!/428487*100</f>
        <v>#REF!</v>
      </c>
    </row>
    <row r="49" spans="3:6" ht="15">
      <c r="C49" s="332"/>
      <c r="D49" s="332" t="s">
        <v>473</v>
      </c>
      <c r="E49" s="13"/>
      <c r="F49" s="343" t="e">
        <f>#REF!/428487*100</f>
        <v>#REF!</v>
      </c>
    </row>
    <row r="50" spans="3:6" ht="15">
      <c r="C50" s="332"/>
      <c r="D50" s="332" t="s">
        <v>474</v>
      </c>
      <c r="E50" s="344"/>
      <c r="F50" s="343" t="e">
        <f>#REF!/428487*100</f>
        <v>#REF!</v>
      </c>
    </row>
    <row r="51" spans="3:6" ht="15">
      <c r="C51" s="332" t="s">
        <v>54</v>
      </c>
      <c r="D51" s="332" t="s">
        <v>503</v>
      </c>
      <c r="E51" s="344"/>
      <c r="F51" s="343" t="e">
        <f>#REF!/428487*100</f>
        <v>#REF!</v>
      </c>
    </row>
    <row r="52" spans="3:6" ht="15">
      <c r="C52" s="332" t="s">
        <v>55</v>
      </c>
      <c r="D52" s="332" t="s">
        <v>405</v>
      </c>
      <c r="E52" s="342"/>
      <c r="F52" s="343" t="e">
        <f>#REF!/428487*100</f>
        <v>#REF!</v>
      </c>
    </row>
    <row r="53" spans="3:6" ht="15">
      <c r="C53" s="332" t="s">
        <v>75</v>
      </c>
      <c r="D53" s="332" t="s">
        <v>502</v>
      </c>
      <c r="E53" s="338"/>
      <c r="F53" s="343" t="e">
        <f>#REF!/428487*100</f>
        <v>#REF!</v>
      </c>
    </row>
    <row r="54" spans="3:6" ht="15">
      <c r="C54" s="332" t="s">
        <v>76</v>
      </c>
      <c r="D54" s="332" t="s">
        <v>563</v>
      </c>
      <c r="E54" s="338"/>
      <c r="F54" s="343" t="e">
        <f>#REF!/428487*100</f>
        <v>#REF!</v>
      </c>
    </row>
    <row r="55" spans="3:6" ht="15">
      <c r="C55" s="332"/>
      <c r="D55" s="332" t="s">
        <v>504</v>
      </c>
      <c r="E55" s="338"/>
      <c r="F55" s="345" t="e">
        <f>#REF!/428487*100</f>
        <v>#REF!</v>
      </c>
    </row>
    <row r="56" spans="3:6" ht="15">
      <c r="C56" s="341">
        <v>3</v>
      </c>
      <c r="D56" s="341" t="s">
        <v>556</v>
      </c>
      <c r="E56" s="338"/>
      <c r="F56" s="346"/>
    </row>
    <row r="57" spans="3:6" ht="15">
      <c r="C57" s="347" t="s">
        <v>81</v>
      </c>
      <c r="D57" s="347" t="s">
        <v>557</v>
      </c>
      <c r="E57" s="338" t="s">
        <v>564</v>
      </c>
      <c r="F57" s="346"/>
    </row>
    <row r="58" spans="3:6" ht="15" customHeight="1">
      <c r="C58" s="347" t="s">
        <v>82</v>
      </c>
      <c r="D58" s="347" t="s">
        <v>558</v>
      </c>
      <c r="E58" s="338" t="s">
        <v>565</v>
      </c>
      <c r="F58" s="347" t="s">
        <v>566</v>
      </c>
    </row>
    <row r="59" spans="3:6" ht="15">
      <c r="C59" s="347" t="s">
        <v>559</v>
      </c>
      <c r="D59" s="347" t="s">
        <v>560</v>
      </c>
      <c r="E59" s="348" t="s">
        <v>567</v>
      </c>
      <c r="F59" s="346"/>
    </row>
    <row r="60" spans="3:6" ht="15">
      <c r="C60" s="347" t="s">
        <v>83</v>
      </c>
      <c r="D60" s="347" t="s">
        <v>561</v>
      </c>
      <c r="E60" s="338" t="s">
        <v>568</v>
      </c>
      <c r="F60" s="346"/>
    </row>
  </sheetData>
  <mergeCells count="6">
    <mergeCell ref="S39:T39"/>
    <mergeCell ref="V39:W39"/>
    <mergeCell ref="D1:G1"/>
    <mergeCell ref="V3:W3"/>
    <mergeCell ref="N2:P2"/>
    <mergeCell ref="S3:T3"/>
  </mergeCells>
  <printOptions/>
  <pageMargins left="0" right="0" top="1" bottom="0" header="1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524"/>
  <sheetViews>
    <sheetView workbookViewId="0" topLeftCell="A100">
      <selection activeCell="L440" sqref="L440:L441"/>
    </sheetView>
  </sheetViews>
  <sheetFormatPr defaultColWidth="9.140625" defaultRowHeight="12.75"/>
  <cols>
    <col min="1" max="1" width="9.140625" style="15" customWidth="1"/>
    <col min="2" max="2" width="5.28125" style="15" customWidth="1"/>
    <col min="3" max="3" width="50.7109375" style="15" customWidth="1"/>
    <col min="4" max="4" width="10.8515625" style="20" customWidth="1"/>
    <col min="5" max="5" width="11.140625" style="20" customWidth="1"/>
    <col min="6" max="6" width="15.7109375" style="23" customWidth="1"/>
    <col min="7" max="7" width="15.140625" style="23" customWidth="1"/>
    <col min="8" max="8" width="16.28125" style="23" customWidth="1"/>
    <col min="9" max="9" width="15.7109375" style="20" customWidth="1"/>
    <col min="10" max="10" width="12.57421875" style="15" customWidth="1"/>
    <col min="11" max="11" width="11.28125" style="15" bestFit="1" customWidth="1"/>
    <col min="12" max="12" width="13.140625" style="15" bestFit="1" customWidth="1"/>
    <col min="13" max="17" width="9.140625" style="15" customWidth="1"/>
    <col min="18" max="18" width="14.421875" style="15" customWidth="1"/>
    <col min="19" max="19" width="12.28125" style="15" customWidth="1"/>
    <col min="20" max="20" width="9.140625" style="15" customWidth="1"/>
    <col min="21" max="21" width="11.28125" style="15" customWidth="1"/>
    <col min="22" max="22" width="14.8515625" style="15" bestFit="1" customWidth="1"/>
    <col min="23" max="16384" width="9.140625" style="15" customWidth="1"/>
  </cols>
  <sheetData>
    <row r="3" spans="2:3" ht="16.5">
      <c r="B3" s="24"/>
      <c r="C3" s="15" t="s">
        <v>257</v>
      </c>
    </row>
    <row r="4" ht="16.5">
      <c r="B4" s="24"/>
    </row>
    <row r="5" spans="2:7" ht="30">
      <c r="B5" s="177" t="s">
        <v>6</v>
      </c>
      <c r="C5" s="177" t="s">
        <v>13</v>
      </c>
      <c r="D5" s="177" t="s">
        <v>311</v>
      </c>
      <c r="E5" s="178" t="s">
        <v>7</v>
      </c>
      <c r="F5" s="178" t="s">
        <v>313</v>
      </c>
      <c r="G5" s="179" t="s">
        <v>314</v>
      </c>
    </row>
    <row r="6" spans="1:7" ht="30">
      <c r="A6" s="176"/>
      <c r="B6" s="192">
        <v>1</v>
      </c>
      <c r="C6" s="192" t="s">
        <v>325</v>
      </c>
      <c r="D6" s="194" t="s">
        <v>94</v>
      </c>
      <c r="E6" s="193" t="e">
        <f>chitiet!#REF!+38300+HTKT!F15*12+chitiet!#REF!</f>
        <v>#REF!</v>
      </c>
      <c r="F6" s="41">
        <v>0.3</v>
      </c>
      <c r="G6" s="202" t="e">
        <f>E6*F6</f>
        <v>#REF!</v>
      </c>
    </row>
    <row r="7" spans="1:7" ht="15">
      <c r="A7" s="176"/>
      <c r="B7" s="192">
        <v>2</v>
      </c>
      <c r="C7" s="192" t="s">
        <v>321</v>
      </c>
      <c r="D7" s="194" t="s">
        <v>10</v>
      </c>
      <c r="E7" s="193" t="e">
        <f>E6*0.5</f>
        <v>#REF!</v>
      </c>
      <c r="F7" s="41">
        <v>0.04</v>
      </c>
      <c r="G7" s="202" t="e">
        <f>E7*F7</f>
        <v>#REF!</v>
      </c>
    </row>
    <row r="8" spans="1:7" ht="15">
      <c r="A8" s="176"/>
      <c r="B8" s="192">
        <v>3</v>
      </c>
      <c r="C8" s="192" t="s">
        <v>315</v>
      </c>
      <c r="D8" s="195"/>
      <c r="E8" s="196"/>
      <c r="F8" s="197"/>
      <c r="G8" s="198" t="e">
        <f>SUM(G9:G14)</f>
        <v>#VALUE!</v>
      </c>
    </row>
    <row r="9" spans="1:7" ht="14.25">
      <c r="A9" s="176"/>
      <c r="B9" s="199"/>
      <c r="C9" s="200" t="s">
        <v>322</v>
      </c>
      <c r="D9" s="41" t="s">
        <v>8</v>
      </c>
      <c r="E9" s="191">
        <f>HTKT!F7+HTKT!F9+HTKT!F10</f>
        <v>0</v>
      </c>
      <c r="F9" s="41">
        <v>17</v>
      </c>
      <c r="G9" s="201">
        <f aca="true" t="shared" si="0" ref="G9:G14">E9*F9</f>
        <v>0</v>
      </c>
    </row>
    <row r="10" spans="1:7" ht="14.25">
      <c r="A10" s="176"/>
      <c r="B10" s="199"/>
      <c r="C10" s="200" t="s">
        <v>323</v>
      </c>
      <c r="D10" s="41" t="s">
        <v>8</v>
      </c>
      <c r="E10" s="191" t="e">
        <f>HTKT!F12+HTKT!F13+HTKT!F14</f>
        <v>#VALUE!</v>
      </c>
      <c r="F10" s="41">
        <v>15</v>
      </c>
      <c r="G10" s="201" t="e">
        <f t="shared" si="0"/>
        <v>#VALUE!</v>
      </c>
    </row>
    <row r="11" spans="1:7" ht="14.25">
      <c r="A11" s="176"/>
      <c r="B11" s="199"/>
      <c r="C11" s="200" t="s">
        <v>324</v>
      </c>
      <c r="D11" s="41" t="s">
        <v>8</v>
      </c>
      <c r="E11" s="191">
        <f>HTKT!F15</f>
        <v>0</v>
      </c>
      <c r="F11" s="41">
        <v>10</v>
      </c>
      <c r="G11" s="201">
        <f t="shared" si="0"/>
        <v>0</v>
      </c>
    </row>
    <row r="12" spans="1:7" ht="14.25">
      <c r="A12" s="176"/>
      <c r="B12" s="199"/>
      <c r="C12" s="200" t="s">
        <v>309</v>
      </c>
      <c r="D12" s="41" t="s">
        <v>94</v>
      </c>
      <c r="E12" s="191">
        <f>HTKT!E16</f>
        <v>3</v>
      </c>
      <c r="F12" s="41">
        <v>0.05</v>
      </c>
      <c r="G12" s="201">
        <f t="shared" si="0"/>
        <v>0.15000000000000002</v>
      </c>
    </row>
    <row r="13" spans="1:7" ht="14.25">
      <c r="A13" s="176"/>
      <c r="B13" s="199"/>
      <c r="C13" s="200" t="s">
        <v>319</v>
      </c>
      <c r="D13" s="41" t="s">
        <v>94</v>
      </c>
      <c r="E13" s="191">
        <v>38300</v>
      </c>
      <c r="F13" s="41">
        <v>0.1</v>
      </c>
      <c r="G13" s="201">
        <f t="shared" si="0"/>
        <v>3830</v>
      </c>
    </row>
    <row r="14" spans="2:7" ht="14.25">
      <c r="B14" s="186"/>
      <c r="C14" s="200" t="s">
        <v>326</v>
      </c>
      <c r="D14" s="181" t="s">
        <v>23</v>
      </c>
      <c r="E14" s="187">
        <v>41000</v>
      </c>
      <c r="F14" s="181">
        <v>1.33</v>
      </c>
      <c r="G14" s="188">
        <f t="shared" si="0"/>
        <v>54530</v>
      </c>
    </row>
    <row r="15" spans="2:7" ht="15">
      <c r="B15" s="180">
        <v>4</v>
      </c>
      <c r="C15" s="180" t="s">
        <v>51</v>
      </c>
      <c r="D15" s="182"/>
      <c r="E15" s="183"/>
      <c r="F15" s="184"/>
      <c r="G15" s="185" t="e">
        <f>G6+G7+G8</f>
        <v>#REF!</v>
      </c>
    </row>
    <row r="16" spans="2:7" ht="15">
      <c r="B16" s="180">
        <v>5</v>
      </c>
      <c r="C16" s="180" t="s">
        <v>316</v>
      </c>
      <c r="D16" s="182"/>
      <c r="E16" s="183"/>
      <c r="F16" s="184"/>
      <c r="G16" s="185" t="e">
        <f>G15*1.2</f>
        <v>#REF!</v>
      </c>
    </row>
    <row r="17" spans="2:8" ht="15">
      <c r="B17" s="189"/>
      <c r="C17" s="180" t="s">
        <v>317</v>
      </c>
      <c r="D17" s="181" t="s">
        <v>318</v>
      </c>
      <c r="E17" s="190"/>
      <c r="F17" s="184"/>
      <c r="G17" s="185" t="e">
        <f>G16/chitiet!#REF!*10000</f>
        <v>#REF!</v>
      </c>
      <c r="H17" s="203" t="e">
        <f>G17/10000</f>
        <v>#REF!</v>
      </c>
    </row>
    <row r="18" ht="16.5">
      <c r="B18" s="24"/>
    </row>
    <row r="19" ht="16.5">
      <c r="B19" s="24"/>
    </row>
    <row r="20" ht="16.5">
      <c r="B20" s="24"/>
    </row>
    <row r="21" ht="16.5">
      <c r="B21" s="24"/>
    </row>
    <row r="22" ht="12" customHeight="1"/>
    <row r="23" spans="2:9" s="25" customFormat="1" ht="15">
      <c r="B23" s="25" t="s">
        <v>56</v>
      </c>
      <c r="C23" s="25" t="s">
        <v>84</v>
      </c>
      <c r="D23" s="26"/>
      <c r="E23" s="26"/>
      <c r="F23" s="27"/>
      <c r="G23" s="27"/>
      <c r="H23" s="27"/>
      <c r="I23" s="28"/>
    </row>
    <row r="24" spans="2:10" s="20" customFormat="1" ht="14.25">
      <c r="B24" s="17" t="s">
        <v>6</v>
      </c>
      <c r="C24" s="17" t="s">
        <v>85</v>
      </c>
      <c r="D24" s="17" t="s">
        <v>86</v>
      </c>
      <c r="E24" s="17" t="s">
        <v>87</v>
      </c>
      <c r="F24" s="29" t="s">
        <v>88</v>
      </c>
      <c r="G24" s="29" t="s">
        <v>9</v>
      </c>
      <c r="H24" s="29" t="s">
        <v>89</v>
      </c>
      <c r="I24" s="17" t="s">
        <v>65</v>
      </c>
      <c r="J24" s="17"/>
    </row>
    <row r="25" spans="2:22" s="30" customFormat="1" ht="15">
      <c r="B25" s="31">
        <v>1</v>
      </c>
      <c r="C25" s="31" t="s">
        <v>90</v>
      </c>
      <c r="D25" s="32"/>
      <c r="E25" s="32"/>
      <c r="F25" s="33"/>
      <c r="G25" s="33">
        <f>SUM(G26:G28)</f>
        <v>32095611.24</v>
      </c>
      <c r="H25" s="33">
        <f>G25*1.1</f>
        <v>35305172.364</v>
      </c>
      <c r="I25" s="22"/>
      <c r="J25" s="34"/>
      <c r="L25" s="35"/>
      <c r="M25" s="36"/>
      <c r="N25" s="37"/>
      <c r="O25" s="36"/>
      <c r="R25" s="38"/>
      <c r="S25" s="39"/>
      <c r="T25" s="40"/>
      <c r="U25" s="40"/>
      <c r="V25" s="35"/>
    </row>
    <row r="26" spans="2:22" ht="14.25">
      <c r="B26" s="16"/>
      <c r="C26" s="16" t="s">
        <v>91</v>
      </c>
      <c r="D26" s="41" t="s">
        <v>10</v>
      </c>
      <c r="E26" s="42">
        <f>'[1]chitiet'!F35*0.3</f>
        <v>145201.19999999998</v>
      </c>
      <c r="F26" s="43">
        <v>7</v>
      </c>
      <c r="G26" s="44">
        <f>E26*F26</f>
        <v>1016408.3999999999</v>
      </c>
      <c r="H26" s="44">
        <f aca="true" t="shared" si="1" ref="H26:H89">G26*1.1</f>
        <v>1118049.24</v>
      </c>
      <c r="I26" s="13"/>
      <c r="J26" s="45"/>
      <c r="L26" s="46"/>
      <c r="M26" s="47"/>
      <c r="N26" s="48"/>
      <c r="O26" s="47"/>
      <c r="R26" s="49"/>
      <c r="S26" s="50"/>
      <c r="T26" s="51"/>
      <c r="U26" s="51"/>
      <c r="V26" s="18"/>
    </row>
    <row r="27" spans="2:22" ht="14.25">
      <c r="B27" s="16"/>
      <c r="C27" s="16" t="s">
        <v>92</v>
      </c>
      <c r="D27" s="41" t="s">
        <v>10</v>
      </c>
      <c r="E27" s="42">
        <v>804612</v>
      </c>
      <c r="F27" s="43">
        <v>35</v>
      </c>
      <c r="G27" s="44">
        <f>E27*F27</f>
        <v>28161420</v>
      </c>
      <c r="H27" s="44">
        <f t="shared" si="1"/>
        <v>30977562.000000004</v>
      </c>
      <c r="I27" s="13"/>
      <c r="J27" s="45"/>
      <c r="L27" s="46"/>
      <c r="M27" s="47"/>
      <c r="N27" s="48"/>
      <c r="O27" s="47"/>
      <c r="R27" s="49"/>
      <c r="S27" s="50"/>
      <c r="T27" s="51"/>
      <c r="U27" s="51"/>
      <c r="V27" s="18"/>
    </row>
    <row r="28" spans="2:22" ht="14.25">
      <c r="B28" s="16"/>
      <c r="C28" s="16" t="s">
        <v>93</v>
      </c>
      <c r="D28" s="41"/>
      <c r="E28" s="41"/>
      <c r="F28" s="44"/>
      <c r="G28" s="44">
        <f>(G26+G27)*0.1</f>
        <v>2917782.84</v>
      </c>
      <c r="H28" s="44">
        <f t="shared" si="1"/>
        <v>3209561.1240000003</v>
      </c>
      <c r="I28" s="13"/>
      <c r="J28" s="45"/>
      <c r="L28" s="46"/>
      <c r="M28" s="47"/>
      <c r="N28" s="48"/>
      <c r="O28" s="47"/>
      <c r="R28" s="49"/>
      <c r="S28" s="50"/>
      <c r="T28" s="50"/>
      <c r="U28" s="50"/>
      <c r="V28" s="18"/>
    </row>
    <row r="29" spans="2:15" s="30" customFormat="1" ht="15">
      <c r="B29" s="31">
        <v>2</v>
      </c>
      <c r="C29" s="31" t="s">
        <v>62</v>
      </c>
      <c r="D29" s="32"/>
      <c r="E29" s="52"/>
      <c r="F29" s="33"/>
      <c r="G29" s="33">
        <f>SUM(G30:G35)</f>
        <v>25880170.8</v>
      </c>
      <c r="H29" s="33">
        <f t="shared" si="1"/>
        <v>28468187.880000003</v>
      </c>
      <c r="I29" s="22"/>
      <c r="J29" s="34"/>
      <c r="L29" s="53"/>
      <c r="M29" s="36"/>
      <c r="N29" s="37"/>
      <c r="O29" s="36"/>
    </row>
    <row r="30" spans="2:15" ht="14.25">
      <c r="B30" s="16"/>
      <c r="C30" s="16" t="s">
        <v>52</v>
      </c>
      <c r="D30" s="41" t="s">
        <v>94</v>
      </c>
      <c r="E30" s="13">
        <f>'[1]HTKT'!F17</f>
        <v>59867</v>
      </c>
      <c r="F30" s="44">
        <v>300</v>
      </c>
      <c r="G30" s="44">
        <f aca="true" t="shared" si="2" ref="G30:G80">E30*F30</f>
        <v>17960100</v>
      </c>
      <c r="H30" s="44">
        <f t="shared" si="1"/>
        <v>19756110</v>
      </c>
      <c r="I30" s="13"/>
      <c r="J30" s="45"/>
      <c r="L30" s="46"/>
      <c r="M30" s="47"/>
      <c r="N30" s="48"/>
      <c r="O30" s="47"/>
    </row>
    <row r="31" spans="2:10" ht="14.25">
      <c r="B31" s="16"/>
      <c r="C31" s="16" t="s">
        <v>95</v>
      </c>
      <c r="D31" s="13" t="s">
        <v>94</v>
      </c>
      <c r="E31" s="13">
        <f>'[1]HTKT'!H18</f>
        <v>37848</v>
      </c>
      <c r="F31" s="44">
        <v>133</v>
      </c>
      <c r="G31" s="44">
        <f t="shared" si="2"/>
        <v>5033784</v>
      </c>
      <c r="H31" s="44">
        <f t="shared" si="1"/>
        <v>5537162.4</v>
      </c>
      <c r="I31" s="13"/>
      <c r="J31" s="45"/>
    </row>
    <row r="32" spans="2:10" ht="14.25">
      <c r="B32" s="16"/>
      <c r="C32" s="16" t="s">
        <v>96</v>
      </c>
      <c r="D32" s="13" t="s">
        <v>8</v>
      </c>
      <c r="E32" s="13">
        <f>'[1]HTKT'!G19</f>
        <v>11288</v>
      </c>
      <c r="F32" s="44">
        <v>33</v>
      </c>
      <c r="G32" s="44">
        <f t="shared" si="2"/>
        <v>372504</v>
      </c>
      <c r="H32" s="44">
        <f t="shared" si="1"/>
        <v>409754.4</v>
      </c>
      <c r="I32" s="13"/>
      <c r="J32" s="45"/>
    </row>
    <row r="33" spans="2:10" ht="14.25">
      <c r="B33" s="16"/>
      <c r="C33" s="16" t="s">
        <v>97</v>
      </c>
      <c r="D33" s="13" t="s">
        <v>98</v>
      </c>
      <c r="E33" s="13">
        <v>0</v>
      </c>
      <c r="F33" s="44">
        <v>133</v>
      </c>
      <c r="G33" s="44">
        <f t="shared" si="2"/>
        <v>0</v>
      </c>
      <c r="H33" s="44">
        <f t="shared" si="1"/>
        <v>0</v>
      </c>
      <c r="I33" s="13"/>
      <c r="J33" s="19"/>
    </row>
    <row r="34" spans="2:10" ht="14.25">
      <c r="B34" s="16"/>
      <c r="C34" s="16" t="s">
        <v>99</v>
      </c>
      <c r="D34" s="13" t="s">
        <v>100</v>
      </c>
      <c r="E34" s="42">
        <f>'[1]HTKT'!E14*2/10</f>
        <v>805.2</v>
      </c>
      <c r="F34" s="44">
        <v>200</v>
      </c>
      <c r="G34" s="44">
        <f t="shared" si="2"/>
        <v>161040</v>
      </c>
      <c r="H34" s="44">
        <f t="shared" si="1"/>
        <v>177144</v>
      </c>
      <c r="I34" s="13"/>
      <c r="J34" s="19"/>
    </row>
    <row r="35" spans="2:10" ht="14.25">
      <c r="B35" s="16"/>
      <c r="C35" s="16" t="s">
        <v>93</v>
      </c>
      <c r="D35" s="13"/>
      <c r="E35" s="13"/>
      <c r="F35" s="44"/>
      <c r="G35" s="44">
        <f>(G30+G31+G32+G33+G34)*0.1</f>
        <v>2352742.8000000003</v>
      </c>
      <c r="H35" s="44">
        <f t="shared" si="1"/>
        <v>2588017.0800000005</v>
      </c>
      <c r="I35" s="13"/>
      <c r="J35" s="19"/>
    </row>
    <row r="36" spans="2:10" s="30" customFormat="1" ht="15">
      <c r="B36" s="31">
        <v>3</v>
      </c>
      <c r="C36" s="31" t="s">
        <v>101</v>
      </c>
      <c r="D36" s="52"/>
      <c r="E36" s="52"/>
      <c r="F36" s="33"/>
      <c r="G36" s="33">
        <f>G37+G45+G48+G49+G50+G51+G59+G60</f>
        <v>6821764.4</v>
      </c>
      <c r="H36" s="33">
        <f t="shared" si="1"/>
        <v>7503940.840000001</v>
      </c>
      <c r="I36" s="22"/>
      <c r="J36" s="54"/>
    </row>
    <row r="37" spans="2:10" s="55" customFormat="1" ht="15">
      <c r="B37" s="56" t="s">
        <v>81</v>
      </c>
      <c r="C37" s="56" t="s">
        <v>102</v>
      </c>
      <c r="D37" s="57"/>
      <c r="E37" s="57"/>
      <c r="F37" s="58"/>
      <c r="G37" s="58">
        <f>SUM(G38:G44)</f>
        <v>4608604</v>
      </c>
      <c r="H37" s="58">
        <f t="shared" si="1"/>
        <v>5069464.4</v>
      </c>
      <c r="I37" s="59"/>
      <c r="J37" s="60"/>
    </row>
    <row r="38" spans="2:10" ht="14.25">
      <c r="B38" s="16"/>
      <c r="C38" s="16" t="s">
        <v>103</v>
      </c>
      <c r="D38" s="13" t="s">
        <v>8</v>
      </c>
      <c r="E38" s="13">
        <v>0</v>
      </c>
      <c r="F38" s="44">
        <v>151</v>
      </c>
      <c r="G38" s="44">
        <f t="shared" si="2"/>
        <v>0</v>
      </c>
      <c r="H38" s="44">
        <f t="shared" si="1"/>
        <v>0</v>
      </c>
      <c r="I38" s="13"/>
      <c r="J38" s="45"/>
    </row>
    <row r="39" spans="2:10" ht="14.25">
      <c r="B39" s="16"/>
      <c r="C39" s="16" t="s">
        <v>104</v>
      </c>
      <c r="D39" s="13" t="s">
        <v>8</v>
      </c>
      <c r="E39" s="13">
        <f>'[1]HTKT'!N7</f>
        <v>350</v>
      </c>
      <c r="F39" s="44">
        <f>293+68</f>
        <v>361</v>
      </c>
      <c r="G39" s="44">
        <f t="shared" si="2"/>
        <v>126350</v>
      </c>
      <c r="H39" s="44">
        <f t="shared" si="1"/>
        <v>138985</v>
      </c>
      <c r="I39" s="13"/>
      <c r="J39" s="19"/>
    </row>
    <row r="40" spans="2:10" ht="14.25">
      <c r="B40" s="16"/>
      <c r="C40" s="16" t="s">
        <v>105</v>
      </c>
      <c r="D40" s="13" t="s">
        <v>8</v>
      </c>
      <c r="E40" s="13">
        <f>'[1]HTKT'!N8</f>
        <v>2125</v>
      </c>
      <c r="F40" s="44">
        <f>571+95</f>
        <v>666</v>
      </c>
      <c r="G40" s="44">
        <f t="shared" si="2"/>
        <v>1415250</v>
      </c>
      <c r="H40" s="44">
        <f t="shared" si="1"/>
        <v>1556775.0000000002</v>
      </c>
      <c r="I40" s="13"/>
      <c r="J40" s="19"/>
    </row>
    <row r="41" spans="2:10" ht="14.25">
      <c r="B41" s="16"/>
      <c r="C41" s="16" t="s">
        <v>106</v>
      </c>
      <c r="D41" s="13" t="s">
        <v>8</v>
      </c>
      <c r="E41" s="13">
        <f>'[1]HTKT'!N9</f>
        <v>494</v>
      </c>
      <c r="F41" s="44">
        <f>762+129</f>
        <v>891</v>
      </c>
      <c r="G41" s="44">
        <f t="shared" si="2"/>
        <v>440154</v>
      </c>
      <c r="H41" s="44">
        <f t="shared" si="1"/>
        <v>484169.4</v>
      </c>
      <c r="I41" s="13"/>
      <c r="J41" s="45"/>
    </row>
    <row r="42" spans="2:10" ht="14.25">
      <c r="B42" s="16"/>
      <c r="C42" s="16" t="s">
        <v>107</v>
      </c>
      <c r="D42" s="13" t="s">
        <v>8</v>
      </c>
      <c r="E42" s="13">
        <f>'[1]HTKT'!N10</f>
        <v>415</v>
      </c>
      <c r="F42" s="44">
        <f>1270+141</f>
        <v>1411</v>
      </c>
      <c r="G42" s="44">
        <f t="shared" si="2"/>
        <v>585565</v>
      </c>
      <c r="H42" s="44">
        <f t="shared" si="1"/>
        <v>644121.5</v>
      </c>
      <c r="I42" s="13"/>
      <c r="J42" s="45"/>
    </row>
    <row r="43" spans="2:10" ht="14.25">
      <c r="B43" s="16"/>
      <c r="C43" s="16" t="s">
        <v>108</v>
      </c>
      <c r="D43" s="13" t="s">
        <v>8</v>
      </c>
      <c r="E43" s="13">
        <f>'[1]HTKT'!N11</f>
        <v>305</v>
      </c>
      <c r="F43" s="44">
        <f>1704+258</f>
        <v>1962</v>
      </c>
      <c r="G43" s="44">
        <f t="shared" si="2"/>
        <v>598410</v>
      </c>
      <c r="H43" s="44">
        <f t="shared" si="1"/>
        <v>658251</v>
      </c>
      <c r="I43" s="13"/>
      <c r="J43" s="45"/>
    </row>
    <row r="44" spans="2:10" ht="14.25">
      <c r="B44" s="16"/>
      <c r="C44" s="16" t="s">
        <v>109</v>
      </c>
      <c r="D44" s="13" t="s">
        <v>8</v>
      </c>
      <c r="E44" s="13">
        <f>'[1]HTKT'!N12</f>
        <v>485</v>
      </c>
      <c r="F44" s="44">
        <f>2592+383</f>
        <v>2975</v>
      </c>
      <c r="G44" s="44">
        <f t="shared" si="2"/>
        <v>1442875</v>
      </c>
      <c r="H44" s="44">
        <f t="shared" si="1"/>
        <v>1587162.5000000002</v>
      </c>
      <c r="I44" s="13"/>
      <c r="J44" s="45"/>
    </row>
    <row r="45" spans="2:10" s="55" customFormat="1" ht="15">
      <c r="B45" s="56" t="s">
        <v>82</v>
      </c>
      <c r="C45" s="56" t="s">
        <v>110</v>
      </c>
      <c r="D45" s="61"/>
      <c r="E45" s="57"/>
      <c r="F45" s="62"/>
      <c r="G45" s="58"/>
      <c r="H45" s="58">
        <f t="shared" si="1"/>
        <v>0</v>
      </c>
      <c r="I45" s="63"/>
      <c r="J45" s="56"/>
    </row>
    <row r="46" spans="2:10" ht="15">
      <c r="B46" s="16"/>
      <c r="C46" s="16" t="s">
        <v>111</v>
      </c>
      <c r="D46" s="17" t="s">
        <v>8</v>
      </c>
      <c r="E46" s="13">
        <v>0</v>
      </c>
      <c r="F46" s="29">
        <v>1950</v>
      </c>
      <c r="G46" s="44">
        <f t="shared" si="2"/>
        <v>0</v>
      </c>
      <c r="H46" s="64">
        <f t="shared" si="1"/>
        <v>0</v>
      </c>
      <c r="I46" s="17"/>
      <c r="J46" s="16"/>
    </row>
    <row r="47" spans="2:10" ht="15">
      <c r="B47" s="16"/>
      <c r="C47" s="16" t="s">
        <v>112</v>
      </c>
      <c r="D47" s="17" t="s">
        <v>8</v>
      </c>
      <c r="E47" s="13">
        <v>0</v>
      </c>
      <c r="F47" s="29">
        <v>650</v>
      </c>
      <c r="G47" s="44">
        <f t="shared" si="2"/>
        <v>0</v>
      </c>
      <c r="H47" s="64">
        <f t="shared" si="1"/>
        <v>0</v>
      </c>
      <c r="I47" s="17"/>
      <c r="J47" s="16"/>
    </row>
    <row r="48" spans="2:10" s="55" customFormat="1" ht="15">
      <c r="B48" s="56" t="s">
        <v>83</v>
      </c>
      <c r="C48" s="56" t="s">
        <v>113</v>
      </c>
      <c r="D48" s="61" t="s">
        <v>114</v>
      </c>
      <c r="E48" s="61">
        <f>'[1]HTKT'!N14</f>
        <v>175</v>
      </c>
      <c r="F48" s="62">
        <v>1700</v>
      </c>
      <c r="G48" s="58">
        <f t="shared" si="2"/>
        <v>297500</v>
      </c>
      <c r="H48" s="58">
        <f t="shared" si="1"/>
        <v>327250</v>
      </c>
      <c r="I48" s="63"/>
      <c r="J48" s="56"/>
    </row>
    <row r="49" spans="2:10" s="55" customFormat="1" ht="15">
      <c r="B49" s="56" t="s">
        <v>115</v>
      </c>
      <c r="C49" s="56" t="s">
        <v>116</v>
      </c>
      <c r="D49" s="61" t="s">
        <v>114</v>
      </c>
      <c r="E49" s="61">
        <f>'[1]HTKT'!N22</f>
        <v>7</v>
      </c>
      <c r="F49" s="62">
        <v>1700</v>
      </c>
      <c r="G49" s="58">
        <f t="shared" si="2"/>
        <v>11900</v>
      </c>
      <c r="H49" s="58">
        <f t="shared" si="1"/>
        <v>13090.000000000002</v>
      </c>
      <c r="I49" s="63"/>
      <c r="J49" s="56"/>
    </row>
    <row r="50" spans="2:10" s="55" customFormat="1" ht="15">
      <c r="B50" s="56" t="s">
        <v>117</v>
      </c>
      <c r="C50" s="56" t="s">
        <v>118</v>
      </c>
      <c r="D50" s="61" t="s">
        <v>114</v>
      </c>
      <c r="E50" s="61">
        <v>0</v>
      </c>
      <c r="F50" s="62">
        <v>6000</v>
      </c>
      <c r="G50" s="58">
        <f t="shared" si="2"/>
        <v>0</v>
      </c>
      <c r="H50" s="58">
        <f t="shared" si="1"/>
        <v>0</v>
      </c>
      <c r="I50" s="63"/>
      <c r="J50" s="56"/>
    </row>
    <row r="51" spans="2:10" s="55" customFormat="1" ht="15">
      <c r="B51" s="56" t="s">
        <v>119</v>
      </c>
      <c r="C51" s="56" t="s">
        <v>74</v>
      </c>
      <c r="D51" s="61" t="s">
        <v>120</v>
      </c>
      <c r="E51" s="61">
        <v>0</v>
      </c>
      <c r="F51" s="62"/>
      <c r="G51" s="58">
        <f>SUM(G52:G58)</f>
        <v>640100</v>
      </c>
      <c r="H51" s="58">
        <f t="shared" si="1"/>
        <v>704110</v>
      </c>
      <c r="I51" s="63"/>
      <c r="J51" s="56"/>
    </row>
    <row r="52" spans="2:10" ht="14.25">
      <c r="B52" s="16"/>
      <c r="C52" s="16" t="s">
        <v>104</v>
      </c>
      <c r="D52" s="17" t="s">
        <v>120</v>
      </c>
      <c r="E52" s="17">
        <f>'[1]HTKT'!N16</f>
        <v>15</v>
      </c>
      <c r="F52" s="29">
        <v>2800</v>
      </c>
      <c r="G52" s="44">
        <f t="shared" si="2"/>
        <v>42000</v>
      </c>
      <c r="H52" s="44">
        <f t="shared" si="1"/>
        <v>46200.00000000001</v>
      </c>
      <c r="I52" s="17"/>
      <c r="J52" s="16"/>
    </row>
    <row r="53" spans="2:10" ht="14.25">
      <c r="B53" s="16"/>
      <c r="C53" s="16" t="s">
        <v>105</v>
      </c>
      <c r="D53" s="17" t="s">
        <v>120</v>
      </c>
      <c r="E53" s="17">
        <f>'[1]HTKT'!N17</f>
        <v>71</v>
      </c>
      <c r="F53" s="29">
        <v>3800</v>
      </c>
      <c r="G53" s="44">
        <f t="shared" si="2"/>
        <v>269800</v>
      </c>
      <c r="H53" s="44">
        <f t="shared" si="1"/>
        <v>296780</v>
      </c>
      <c r="I53" s="17"/>
      <c r="J53" s="16"/>
    </row>
    <row r="54" spans="2:10" ht="14.25">
      <c r="B54" s="16"/>
      <c r="C54" s="16" t="s">
        <v>106</v>
      </c>
      <c r="D54" s="17" t="s">
        <v>120</v>
      </c>
      <c r="E54" s="17">
        <f>'[1]HTKT'!N18</f>
        <v>11</v>
      </c>
      <c r="F54" s="29">
        <v>4400</v>
      </c>
      <c r="G54" s="44">
        <f t="shared" si="2"/>
        <v>48400</v>
      </c>
      <c r="H54" s="44">
        <f t="shared" si="1"/>
        <v>53240.00000000001</v>
      </c>
      <c r="I54" s="17"/>
      <c r="J54" s="16"/>
    </row>
    <row r="55" spans="2:10" ht="14.25">
      <c r="B55" s="16"/>
      <c r="C55" s="16" t="s">
        <v>107</v>
      </c>
      <c r="D55" s="17" t="s">
        <v>120</v>
      </c>
      <c r="E55" s="17">
        <f>'[1]HTKT'!N19</f>
        <v>14</v>
      </c>
      <c r="F55" s="29">
        <v>5400</v>
      </c>
      <c r="G55" s="44">
        <f t="shared" si="2"/>
        <v>75600</v>
      </c>
      <c r="H55" s="44">
        <f t="shared" si="1"/>
        <v>83160</v>
      </c>
      <c r="I55" s="17"/>
      <c r="J55" s="16"/>
    </row>
    <row r="56" spans="2:10" ht="14.25">
      <c r="B56" s="16"/>
      <c r="C56" s="16" t="s">
        <v>108</v>
      </c>
      <c r="D56" s="17" t="s">
        <v>120</v>
      </c>
      <c r="E56" s="17">
        <f>'[1]HTKT'!N20</f>
        <v>9</v>
      </c>
      <c r="F56" s="29">
        <v>5700</v>
      </c>
      <c r="G56" s="44">
        <f t="shared" si="2"/>
        <v>51300</v>
      </c>
      <c r="H56" s="44">
        <f t="shared" si="1"/>
        <v>56430.00000000001</v>
      </c>
      <c r="I56" s="17"/>
      <c r="J56" s="16"/>
    </row>
    <row r="57" spans="2:10" ht="14.25">
      <c r="B57" s="16"/>
      <c r="C57" s="16" t="s">
        <v>109</v>
      </c>
      <c r="D57" s="17" t="s">
        <v>120</v>
      </c>
      <c r="E57" s="17">
        <f>'[1]HTKT'!N21</f>
        <v>18</v>
      </c>
      <c r="F57" s="29">
        <v>8500</v>
      </c>
      <c r="G57" s="44">
        <f t="shared" si="2"/>
        <v>153000</v>
      </c>
      <c r="H57" s="44">
        <f t="shared" si="1"/>
        <v>168300</v>
      </c>
      <c r="I57" s="17"/>
      <c r="J57" s="16"/>
    </row>
    <row r="58" spans="2:10" ht="14.25">
      <c r="B58" s="16"/>
      <c r="C58" s="16" t="s">
        <v>121</v>
      </c>
      <c r="D58" s="17" t="s">
        <v>120</v>
      </c>
      <c r="E58" s="17">
        <v>0</v>
      </c>
      <c r="F58" s="29">
        <v>11400</v>
      </c>
      <c r="G58" s="44">
        <f t="shared" si="2"/>
        <v>0</v>
      </c>
      <c r="H58" s="44">
        <f t="shared" si="1"/>
        <v>0</v>
      </c>
      <c r="I58" s="17"/>
      <c r="J58" s="16"/>
    </row>
    <row r="59" spans="2:10" s="55" customFormat="1" ht="15">
      <c r="B59" s="56" t="s">
        <v>122</v>
      </c>
      <c r="C59" s="56" t="s">
        <v>123</v>
      </c>
      <c r="D59" s="61" t="s">
        <v>8</v>
      </c>
      <c r="E59" s="61">
        <f>'[1]HTKT'!N13</f>
        <v>990</v>
      </c>
      <c r="F59" s="62">
        <v>650</v>
      </c>
      <c r="G59" s="58">
        <f t="shared" si="2"/>
        <v>643500</v>
      </c>
      <c r="H59" s="58">
        <f t="shared" si="1"/>
        <v>707850</v>
      </c>
      <c r="I59" s="63"/>
      <c r="J59" s="56"/>
    </row>
    <row r="60" spans="2:10" s="55" customFormat="1" ht="15">
      <c r="B60" s="56" t="s">
        <v>124</v>
      </c>
      <c r="C60" s="56" t="s">
        <v>93</v>
      </c>
      <c r="D60" s="61"/>
      <c r="E60" s="61"/>
      <c r="F60" s="62"/>
      <c r="G60" s="58">
        <f>(G37+G45+G48+G49+G50+G51+G59)*0.1</f>
        <v>620160.4</v>
      </c>
      <c r="H60" s="58">
        <f t="shared" si="1"/>
        <v>682176.4400000001</v>
      </c>
      <c r="I60" s="63"/>
      <c r="J60" s="56"/>
    </row>
    <row r="61" spans="2:10" s="30" customFormat="1" ht="15">
      <c r="B61" s="31">
        <v>4</v>
      </c>
      <c r="C61" s="31" t="s">
        <v>50</v>
      </c>
      <c r="D61" s="65"/>
      <c r="E61" s="65">
        <v>1</v>
      </c>
      <c r="F61" s="66"/>
      <c r="G61" s="33">
        <f>SUM(G63:G71)</f>
        <v>2896388</v>
      </c>
      <c r="H61" s="33">
        <f t="shared" si="1"/>
        <v>3186026.8000000003</v>
      </c>
      <c r="I61" s="67"/>
      <c r="J61" s="31"/>
    </row>
    <row r="62" spans="2:10" ht="15">
      <c r="B62" s="16"/>
      <c r="C62" s="68" t="s">
        <v>125</v>
      </c>
      <c r="D62" s="17" t="s">
        <v>8</v>
      </c>
      <c r="E62" s="17">
        <v>0</v>
      </c>
      <c r="F62" s="29">
        <v>45</v>
      </c>
      <c r="G62" s="44">
        <f t="shared" si="2"/>
        <v>0</v>
      </c>
      <c r="H62" s="44">
        <f t="shared" si="1"/>
        <v>0</v>
      </c>
      <c r="I62" s="17"/>
      <c r="J62" s="16"/>
    </row>
    <row r="63" spans="2:10" ht="15">
      <c r="B63" s="16"/>
      <c r="C63" s="68" t="s">
        <v>126</v>
      </c>
      <c r="D63" s="17" t="s">
        <v>8</v>
      </c>
      <c r="E63" s="17">
        <f>'[1]HTKT'!T11</f>
        <v>1200</v>
      </c>
      <c r="F63" s="29">
        <v>250</v>
      </c>
      <c r="G63" s="29">
        <f t="shared" si="2"/>
        <v>300000</v>
      </c>
      <c r="H63" s="44">
        <f t="shared" si="1"/>
        <v>330000</v>
      </c>
      <c r="I63" s="17"/>
      <c r="J63" s="16"/>
    </row>
    <row r="64" spans="2:10" ht="15">
      <c r="B64" s="16"/>
      <c r="C64" s="68" t="s">
        <v>127</v>
      </c>
      <c r="D64" s="17" t="s">
        <v>8</v>
      </c>
      <c r="E64" s="17">
        <f>'[1]HTKT'!T10</f>
        <v>809</v>
      </c>
      <c r="F64" s="29">
        <v>320</v>
      </c>
      <c r="G64" s="29">
        <f t="shared" si="2"/>
        <v>258880</v>
      </c>
      <c r="H64" s="44">
        <f t="shared" si="1"/>
        <v>284768</v>
      </c>
      <c r="I64" s="17"/>
      <c r="J64" s="16"/>
    </row>
    <row r="65" spans="2:10" ht="15">
      <c r="B65" s="16"/>
      <c r="C65" s="68" t="s">
        <v>128</v>
      </c>
      <c r="D65" s="17" t="s">
        <v>8</v>
      </c>
      <c r="E65" s="17">
        <f>'[1]HTKT'!T9</f>
        <v>1981</v>
      </c>
      <c r="F65" s="29">
        <v>700</v>
      </c>
      <c r="G65" s="29">
        <f t="shared" si="2"/>
        <v>1386700</v>
      </c>
      <c r="H65" s="44">
        <f t="shared" si="1"/>
        <v>1525370.0000000002</v>
      </c>
      <c r="I65" s="17"/>
      <c r="J65" s="16"/>
    </row>
    <row r="66" spans="2:10" ht="15">
      <c r="B66" s="16"/>
      <c r="C66" s="68" t="s">
        <v>129</v>
      </c>
      <c r="D66" s="17" t="s">
        <v>8</v>
      </c>
      <c r="E66" s="17">
        <f>'[1]HTKT'!T7</f>
        <v>25</v>
      </c>
      <c r="F66" s="29">
        <v>1100</v>
      </c>
      <c r="G66" s="29">
        <f t="shared" si="2"/>
        <v>27500</v>
      </c>
      <c r="H66" s="44">
        <f t="shared" si="1"/>
        <v>30250.000000000004</v>
      </c>
      <c r="I66" s="17"/>
      <c r="J66" s="16"/>
    </row>
    <row r="67" spans="2:10" ht="14.25">
      <c r="B67" s="16"/>
      <c r="C67" s="68" t="s">
        <v>130</v>
      </c>
      <c r="D67" s="17" t="s">
        <v>114</v>
      </c>
      <c r="E67" s="17">
        <v>0</v>
      </c>
      <c r="F67" s="29">
        <v>574000</v>
      </c>
      <c r="G67" s="29">
        <f t="shared" si="2"/>
        <v>0</v>
      </c>
      <c r="H67" s="44">
        <f t="shared" si="1"/>
        <v>0</v>
      </c>
      <c r="I67" s="17"/>
      <c r="J67" s="16"/>
    </row>
    <row r="68" spans="2:10" ht="14.25">
      <c r="B68" s="16"/>
      <c r="C68" s="68" t="s">
        <v>131</v>
      </c>
      <c r="D68" s="17" t="s">
        <v>114</v>
      </c>
      <c r="E68" s="17">
        <v>0</v>
      </c>
      <c r="F68" s="29">
        <v>1000000</v>
      </c>
      <c r="G68" s="29">
        <f t="shared" si="2"/>
        <v>0</v>
      </c>
      <c r="H68" s="44">
        <f t="shared" si="1"/>
        <v>0</v>
      </c>
      <c r="I68" s="17"/>
      <c r="J68" s="16"/>
    </row>
    <row r="69" spans="2:10" ht="14.25">
      <c r="B69" s="16"/>
      <c r="C69" s="68" t="s">
        <v>132</v>
      </c>
      <c r="D69" s="17" t="s">
        <v>114</v>
      </c>
      <c r="E69" s="17">
        <v>1</v>
      </c>
      <c r="F69" s="29">
        <v>600000</v>
      </c>
      <c r="G69" s="29">
        <f t="shared" si="2"/>
        <v>600000</v>
      </c>
      <c r="H69" s="44">
        <f t="shared" si="1"/>
        <v>660000</v>
      </c>
      <c r="I69" s="17"/>
      <c r="J69" s="16"/>
    </row>
    <row r="70" spans="2:10" ht="14.25">
      <c r="B70" s="16"/>
      <c r="C70" s="68" t="s">
        <v>133</v>
      </c>
      <c r="D70" s="17" t="s">
        <v>114</v>
      </c>
      <c r="E70" s="17">
        <f>'[1]HTKT'!T12</f>
        <v>15</v>
      </c>
      <c r="F70" s="29">
        <v>4000</v>
      </c>
      <c r="G70" s="29">
        <f t="shared" si="2"/>
        <v>60000</v>
      </c>
      <c r="H70" s="44">
        <f t="shared" si="1"/>
        <v>66000</v>
      </c>
      <c r="I70" s="17"/>
      <c r="J70" s="16"/>
    </row>
    <row r="71" spans="2:10" ht="14.25">
      <c r="B71" s="16"/>
      <c r="C71" s="68" t="s">
        <v>93</v>
      </c>
      <c r="D71" s="17"/>
      <c r="E71" s="17"/>
      <c r="F71" s="29"/>
      <c r="G71" s="29">
        <f>SUM(G62:G70)*0.1</f>
        <v>263308</v>
      </c>
      <c r="H71" s="44">
        <f t="shared" si="1"/>
        <v>289638.80000000005</v>
      </c>
      <c r="I71" s="17"/>
      <c r="J71" s="16"/>
    </row>
    <row r="72" spans="2:10" s="30" customFormat="1" ht="15">
      <c r="B72" s="31">
        <v>5</v>
      </c>
      <c r="C72" s="31" t="s">
        <v>134</v>
      </c>
      <c r="D72" s="65"/>
      <c r="E72" s="65"/>
      <c r="F72" s="66"/>
      <c r="G72" s="66">
        <f>G73+G77+G81+G82</f>
        <v>2494839.6</v>
      </c>
      <c r="H72" s="33">
        <f t="shared" si="1"/>
        <v>2744323.5600000005</v>
      </c>
      <c r="I72" s="67"/>
      <c r="J72" s="31"/>
    </row>
    <row r="73" spans="2:10" s="69" customFormat="1" ht="15">
      <c r="B73" s="70" t="s">
        <v>135</v>
      </c>
      <c r="C73" s="70" t="s">
        <v>68</v>
      </c>
      <c r="D73" s="71" t="s">
        <v>8</v>
      </c>
      <c r="E73" s="71"/>
      <c r="F73" s="72"/>
      <c r="G73" s="72">
        <f>SUM(G74:G76)</f>
        <v>186436</v>
      </c>
      <c r="H73" s="73">
        <f t="shared" si="1"/>
        <v>205079.6</v>
      </c>
      <c r="I73" s="74"/>
      <c r="J73" s="70"/>
    </row>
    <row r="74" spans="2:10" ht="14.25">
      <c r="B74" s="16"/>
      <c r="C74" s="16" t="s">
        <v>16</v>
      </c>
      <c r="D74" s="17"/>
      <c r="E74" s="17">
        <f>'[1]HTKT'!Z7</f>
        <v>1258</v>
      </c>
      <c r="F74" s="29">
        <f>113+29</f>
        <v>142</v>
      </c>
      <c r="G74" s="29">
        <f t="shared" si="2"/>
        <v>178636</v>
      </c>
      <c r="H74" s="44">
        <f t="shared" si="1"/>
        <v>196499.6</v>
      </c>
      <c r="I74" s="17"/>
      <c r="J74" s="16"/>
    </row>
    <row r="75" spans="2:10" ht="14.25">
      <c r="B75" s="16"/>
      <c r="C75" s="16" t="s">
        <v>66</v>
      </c>
      <c r="D75" s="17"/>
      <c r="E75" s="17">
        <f>'[1]HTKT'!Z8</f>
        <v>40</v>
      </c>
      <c r="F75" s="29">
        <f>151+44</f>
        <v>195</v>
      </c>
      <c r="G75" s="29">
        <f t="shared" si="2"/>
        <v>7800</v>
      </c>
      <c r="H75" s="44">
        <f t="shared" si="1"/>
        <v>8580</v>
      </c>
      <c r="I75" s="17"/>
      <c r="J75" s="16"/>
    </row>
    <row r="76" spans="2:10" ht="14.25">
      <c r="B76" s="16"/>
      <c r="C76" s="16" t="s">
        <v>136</v>
      </c>
      <c r="D76" s="17"/>
      <c r="E76" s="17"/>
      <c r="F76" s="29">
        <f>293+68</f>
        <v>361</v>
      </c>
      <c r="G76" s="29">
        <f t="shared" si="2"/>
        <v>0</v>
      </c>
      <c r="H76" s="44">
        <f t="shared" si="1"/>
        <v>0</v>
      </c>
      <c r="I76" s="17"/>
      <c r="J76" s="16"/>
    </row>
    <row r="77" spans="2:10" s="69" customFormat="1" ht="15">
      <c r="B77" s="70" t="s">
        <v>137</v>
      </c>
      <c r="C77" s="70" t="s">
        <v>74</v>
      </c>
      <c r="D77" s="71" t="s">
        <v>120</v>
      </c>
      <c r="E77" s="71"/>
      <c r="F77" s="72"/>
      <c r="G77" s="72">
        <f>SUM(G78:G80)</f>
        <v>81600</v>
      </c>
      <c r="H77" s="73">
        <f t="shared" si="1"/>
        <v>89760</v>
      </c>
      <c r="I77" s="74"/>
      <c r="J77" s="70"/>
    </row>
    <row r="78" spans="2:10" ht="14.25">
      <c r="B78" s="16"/>
      <c r="C78" s="16" t="s">
        <v>16</v>
      </c>
      <c r="D78" s="17"/>
      <c r="E78" s="17">
        <f>'[1]HTKT'!Z10</f>
        <v>42</v>
      </c>
      <c r="F78" s="29">
        <v>1800</v>
      </c>
      <c r="G78" s="29">
        <f t="shared" si="2"/>
        <v>75600</v>
      </c>
      <c r="H78" s="44">
        <f t="shared" si="1"/>
        <v>83160</v>
      </c>
      <c r="I78" s="17"/>
      <c r="J78" s="16"/>
    </row>
    <row r="79" spans="2:10" ht="14.25">
      <c r="B79" s="16"/>
      <c r="C79" s="16" t="s">
        <v>66</v>
      </c>
      <c r="D79" s="17"/>
      <c r="E79" s="17">
        <f>'[1]HTKT'!Z11</f>
        <v>3</v>
      </c>
      <c r="F79" s="29">
        <v>2000</v>
      </c>
      <c r="G79" s="29">
        <f t="shared" si="2"/>
        <v>6000</v>
      </c>
      <c r="H79" s="44">
        <f t="shared" si="1"/>
        <v>6600.000000000001</v>
      </c>
      <c r="I79" s="17"/>
      <c r="J79" s="16"/>
    </row>
    <row r="80" spans="2:10" ht="14.25">
      <c r="B80" s="16"/>
      <c r="C80" s="16" t="s">
        <v>136</v>
      </c>
      <c r="D80" s="17"/>
      <c r="E80" s="17">
        <v>0</v>
      </c>
      <c r="F80" s="29">
        <v>2300</v>
      </c>
      <c r="G80" s="29">
        <f t="shared" si="2"/>
        <v>0</v>
      </c>
      <c r="H80" s="44">
        <f t="shared" si="1"/>
        <v>0</v>
      </c>
      <c r="I80" s="17"/>
      <c r="J80" s="16"/>
    </row>
    <row r="81" spans="2:10" s="75" customFormat="1" ht="15">
      <c r="B81" s="76" t="s">
        <v>138</v>
      </c>
      <c r="C81" s="76" t="s">
        <v>139</v>
      </c>
      <c r="D81" s="77" t="s">
        <v>19</v>
      </c>
      <c r="E81" s="77">
        <v>1</v>
      </c>
      <c r="F81" s="78"/>
      <c r="G81" s="78">
        <v>2000000</v>
      </c>
      <c r="H81" s="79">
        <f t="shared" si="1"/>
        <v>2200000</v>
      </c>
      <c r="I81" s="80"/>
      <c r="J81" s="76"/>
    </row>
    <row r="82" spans="2:10" s="75" customFormat="1" ht="15">
      <c r="B82" s="76">
        <v>54</v>
      </c>
      <c r="C82" s="76" t="s">
        <v>93</v>
      </c>
      <c r="D82" s="77"/>
      <c r="E82" s="77"/>
      <c r="F82" s="78"/>
      <c r="G82" s="78">
        <f>(G73+G77+G81)*0.1</f>
        <v>226803.6</v>
      </c>
      <c r="H82" s="79">
        <f t="shared" si="1"/>
        <v>249483.96000000002</v>
      </c>
      <c r="I82" s="80"/>
      <c r="J82" s="76"/>
    </row>
    <row r="83" spans="2:10" s="30" customFormat="1" ht="15">
      <c r="B83" s="31">
        <v>6</v>
      </c>
      <c r="C83" s="31" t="s">
        <v>64</v>
      </c>
      <c r="D83" s="65"/>
      <c r="E83" s="65"/>
      <c r="F83" s="66"/>
      <c r="G83" s="66">
        <f>SUM(G84:G91)</f>
        <v>5925370</v>
      </c>
      <c r="H83" s="33">
        <f t="shared" si="1"/>
        <v>6517907.000000001</v>
      </c>
      <c r="I83" s="67"/>
      <c r="J83" s="31"/>
    </row>
    <row r="84" spans="2:10" ht="14.25">
      <c r="B84" s="16" t="s">
        <v>24</v>
      </c>
      <c r="C84" s="16" t="s">
        <v>140</v>
      </c>
      <c r="D84" s="17" t="s">
        <v>141</v>
      </c>
      <c r="E84" s="17">
        <f>'[1]HTKT'!AE14</f>
        <v>190</v>
      </c>
      <c r="F84" s="29">
        <v>3700</v>
      </c>
      <c r="G84" s="29">
        <f aca="true" t="shared" si="3" ref="G84:G90">E84*F84</f>
        <v>703000</v>
      </c>
      <c r="H84" s="44">
        <f t="shared" si="1"/>
        <v>773300.0000000001</v>
      </c>
      <c r="I84" s="17"/>
      <c r="J84" s="16"/>
    </row>
    <row r="85" spans="2:17" ht="14.25">
      <c r="B85" s="16" t="s">
        <v>25</v>
      </c>
      <c r="C85" s="16" t="s">
        <v>142</v>
      </c>
      <c r="D85" s="17" t="s">
        <v>141</v>
      </c>
      <c r="E85" s="17">
        <f>'[1]HTKT'!AE14</f>
        <v>190</v>
      </c>
      <c r="F85" s="29">
        <v>3200</v>
      </c>
      <c r="G85" s="29">
        <f t="shared" si="3"/>
        <v>608000</v>
      </c>
      <c r="H85" s="44">
        <f t="shared" si="1"/>
        <v>668800</v>
      </c>
      <c r="I85" s="17"/>
      <c r="J85" s="16"/>
      <c r="P85" s="15">
        <v>150</v>
      </c>
      <c r="Q85" s="15">
        <f>P85/60</f>
        <v>2.5</v>
      </c>
    </row>
    <row r="86" spans="2:10" ht="14.25">
      <c r="B86" s="16" t="s">
        <v>26</v>
      </c>
      <c r="C86" s="16" t="s">
        <v>143</v>
      </c>
      <c r="D86" s="17" t="s">
        <v>141</v>
      </c>
      <c r="E86" s="17">
        <v>0</v>
      </c>
      <c r="F86" s="29">
        <v>7000</v>
      </c>
      <c r="G86" s="29">
        <f t="shared" si="3"/>
        <v>0</v>
      </c>
      <c r="H86" s="44">
        <f t="shared" si="1"/>
        <v>0</v>
      </c>
      <c r="I86" s="17"/>
      <c r="J86" s="16"/>
    </row>
    <row r="87" spans="2:10" ht="14.25">
      <c r="B87" s="16" t="s">
        <v>27</v>
      </c>
      <c r="C87" s="16" t="s">
        <v>144</v>
      </c>
      <c r="D87" s="17" t="s">
        <v>8</v>
      </c>
      <c r="E87" s="17">
        <f>'[1]HTKT'!AE10</f>
        <v>2660</v>
      </c>
      <c r="F87" s="29">
        <v>800</v>
      </c>
      <c r="G87" s="29">
        <f t="shared" si="3"/>
        <v>2128000</v>
      </c>
      <c r="H87" s="44">
        <f t="shared" si="1"/>
        <v>2340800</v>
      </c>
      <c r="I87" s="16"/>
      <c r="J87" s="16"/>
    </row>
    <row r="88" spans="2:10" ht="14.25">
      <c r="B88" s="16" t="s">
        <v>145</v>
      </c>
      <c r="C88" s="16" t="s">
        <v>146</v>
      </c>
      <c r="D88" s="17" t="s">
        <v>8</v>
      </c>
      <c r="E88" s="17">
        <f>'[1]HTKT'!AE15</f>
        <v>950</v>
      </c>
      <c r="F88" s="29">
        <v>250</v>
      </c>
      <c r="G88" s="29">
        <f t="shared" si="3"/>
        <v>237500</v>
      </c>
      <c r="H88" s="44">
        <f t="shared" si="1"/>
        <v>261250.00000000003</v>
      </c>
      <c r="I88" s="16"/>
      <c r="J88" s="16"/>
    </row>
    <row r="89" spans="2:15" ht="14.25">
      <c r="B89" s="16" t="s">
        <v>147</v>
      </c>
      <c r="C89" s="16" t="s">
        <v>148</v>
      </c>
      <c r="D89" s="17" t="s">
        <v>8</v>
      </c>
      <c r="E89" s="17">
        <f>'[1]HTKT'!AE13</f>
        <v>4360</v>
      </c>
      <c r="F89" s="29">
        <v>47</v>
      </c>
      <c r="G89" s="29">
        <f t="shared" si="3"/>
        <v>204920</v>
      </c>
      <c r="H89" s="44">
        <f t="shared" si="1"/>
        <v>225412.00000000003</v>
      </c>
      <c r="I89" s="16"/>
      <c r="J89" s="16"/>
      <c r="N89" s="15">
        <v>68</v>
      </c>
      <c r="O89" s="15">
        <f>N89*3</f>
        <v>204</v>
      </c>
    </row>
    <row r="90" spans="2:10" ht="14.25">
      <c r="B90" s="16" t="s">
        <v>149</v>
      </c>
      <c r="C90" s="16" t="s">
        <v>150</v>
      </c>
      <c r="D90" s="17" t="s">
        <v>151</v>
      </c>
      <c r="E90" s="17">
        <f>'[1]HTKT'!AE16</f>
        <v>7</v>
      </c>
      <c r="F90" s="29">
        <v>215040</v>
      </c>
      <c r="G90" s="29">
        <f t="shared" si="3"/>
        <v>1505280</v>
      </c>
      <c r="H90" s="44">
        <f>G90*1.1</f>
        <v>1655808.0000000002</v>
      </c>
      <c r="I90" s="16"/>
      <c r="J90" s="16"/>
    </row>
    <row r="91" spans="2:14" ht="14.25">
      <c r="B91" s="16" t="s">
        <v>152</v>
      </c>
      <c r="C91" s="16" t="s">
        <v>93</v>
      </c>
      <c r="D91" s="17"/>
      <c r="E91" s="17"/>
      <c r="F91" s="29"/>
      <c r="G91" s="29">
        <f>SUM(G84:G90)*0.1</f>
        <v>538670</v>
      </c>
      <c r="H91" s="44">
        <f>G91*1.1</f>
        <v>592537</v>
      </c>
      <c r="I91" s="16"/>
      <c r="J91" s="16"/>
      <c r="N91" s="15">
        <v>150</v>
      </c>
    </row>
    <row r="92" spans="2:14" s="81" customFormat="1" ht="15">
      <c r="B92" s="82" t="s">
        <v>56</v>
      </c>
      <c r="C92" s="82" t="s">
        <v>153</v>
      </c>
      <c r="D92" s="83"/>
      <c r="E92" s="83"/>
      <c r="F92" s="84"/>
      <c r="G92" s="84">
        <f>G25+G29+G36+G61+G72+G83</f>
        <v>76114144.03999999</v>
      </c>
      <c r="H92" s="84">
        <f>G92*1.1</f>
        <v>83725558.44399999</v>
      </c>
      <c r="I92" s="85" t="s">
        <v>154</v>
      </c>
      <c r="J92" s="82"/>
      <c r="L92" s="81">
        <f>H92*2.5</f>
        <v>209313896.10999998</v>
      </c>
      <c r="N92" s="81">
        <f>L92/N91</f>
        <v>1395425.9740666666</v>
      </c>
    </row>
    <row r="94" spans="3:9" s="30" customFormat="1" ht="15">
      <c r="C94" s="30" t="s">
        <v>155</v>
      </c>
      <c r="D94" s="86"/>
      <c r="E94" s="86"/>
      <c r="F94" s="87"/>
      <c r="G94" s="87"/>
      <c r="H94" s="87"/>
      <c r="I94" s="88"/>
    </row>
    <row r="95" spans="2:9" s="20" customFormat="1" ht="14.25">
      <c r="B95" s="17" t="s">
        <v>6</v>
      </c>
      <c r="C95" s="17" t="s">
        <v>156</v>
      </c>
      <c r="D95" s="17" t="s">
        <v>86</v>
      </c>
      <c r="E95" s="17" t="s">
        <v>87</v>
      </c>
      <c r="F95" s="29" t="s">
        <v>157</v>
      </c>
      <c r="G95" s="29" t="s">
        <v>9</v>
      </c>
      <c r="H95" s="29" t="s">
        <v>89</v>
      </c>
      <c r="I95" s="17"/>
    </row>
    <row r="96" spans="2:9" ht="14.25">
      <c r="B96" s="16">
        <v>1</v>
      </c>
      <c r="C96" s="16" t="s">
        <v>158</v>
      </c>
      <c r="D96" s="17" t="s">
        <v>94</v>
      </c>
      <c r="E96" s="89">
        <f>'[1]chitiet'!F36</f>
        <v>475386</v>
      </c>
      <c r="F96" s="29">
        <v>108</v>
      </c>
      <c r="G96" s="90">
        <f aca="true" t="shared" si="4" ref="G96:G102">E96*F96</f>
        <v>51341688</v>
      </c>
      <c r="H96" s="90">
        <f>G96*1.1</f>
        <v>56475856.800000004</v>
      </c>
      <c r="I96" s="91" t="s">
        <v>159</v>
      </c>
    </row>
    <row r="97" spans="2:9" ht="14.25">
      <c r="B97" s="16">
        <v>2</v>
      </c>
      <c r="C97" s="16" t="s">
        <v>160</v>
      </c>
      <c r="D97" s="17"/>
      <c r="E97" s="17"/>
      <c r="F97" s="29"/>
      <c r="G97" s="90">
        <f>SUM(G98:G99)</f>
        <v>955175.6000000001</v>
      </c>
      <c r="H97" s="90">
        <f aca="true" t="shared" si="5" ref="H97:H104">G97*1.1</f>
        <v>1050693.1600000001</v>
      </c>
      <c r="I97" s="17"/>
    </row>
    <row r="98" spans="2:9" ht="15">
      <c r="B98" s="16"/>
      <c r="C98" s="16" t="s">
        <v>161</v>
      </c>
      <c r="D98" s="17" t="s">
        <v>94</v>
      </c>
      <c r="E98" s="89">
        <f>'[1]HientrangSDD'!F8</f>
        <v>398678</v>
      </c>
      <c r="F98" s="92">
        <v>2.2</v>
      </c>
      <c r="G98" s="93">
        <f t="shared" si="4"/>
        <v>877091.6000000001</v>
      </c>
      <c r="H98" s="93">
        <f t="shared" si="5"/>
        <v>964800.7600000001</v>
      </c>
      <c r="I98" s="17"/>
    </row>
    <row r="99" spans="2:9" ht="15">
      <c r="B99" s="16"/>
      <c r="C99" s="16" t="s">
        <v>162</v>
      </c>
      <c r="D99" s="17" t="s">
        <v>94</v>
      </c>
      <c r="E99" s="89">
        <f>'[1]HientrangSDD'!F9</f>
        <v>13014</v>
      </c>
      <c r="F99" s="92">
        <v>6</v>
      </c>
      <c r="G99" s="93">
        <f t="shared" si="4"/>
        <v>78084</v>
      </c>
      <c r="H99" s="93">
        <f t="shared" si="5"/>
        <v>85892.40000000001</v>
      </c>
      <c r="I99" s="17"/>
    </row>
    <row r="100" spans="2:9" ht="14.25">
      <c r="B100" s="16">
        <v>3</v>
      </c>
      <c r="C100" s="16" t="s">
        <v>163</v>
      </c>
      <c r="D100" s="17" t="s">
        <v>18</v>
      </c>
      <c r="E100" s="17">
        <f>'[1]HientrangSDD'!F7/10000</f>
        <v>41.1692</v>
      </c>
      <c r="F100" s="29">
        <v>300000</v>
      </c>
      <c r="G100" s="90">
        <f t="shared" si="4"/>
        <v>12350759.999999998</v>
      </c>
      <c r="H100" s="90">
        <f t="shared" si="5"/>
        <v>13585835.999999998</v>
      </c>
      <c r="I100" s="91" t="s">
        <v>164</v>
      </c>
    </row>
    <row r="101" spans="2:9" ht="14.25">
      <c r="B101" s="16">
        <v>4</v>
      </c>
      <c r="C101" s="16" t="s">
        <v>165</v>
      </c>
      <c r="D101" s="17" t="s">
        <v>94</v>
      </c>
      <c r="E101" s="89">
        <f>'[1]HientrangSDD'!F7</f>
        <v>411692</v>
      </c>
      <c r="F101" s="29">
        <v>40</v>
      </c>
      <c r="G101" s="90">
        <f t="shared" si="4"/>
        <v>16467680</v>
      </c>
      <c r="H101" s="90">
        <f t="shared" si="5"/>
        <v>18114448</v>
      </c>
      <c r="I101" s="17"/>
    </row>
    <row r="102" spans="2:9" ht="14.25">
      <c r="B102" s="16">
        <v>5</v>
      </c>
      <c r="C102" s="16" t="s">
        <v>166</v>
      </c>
      <c r="D102" s="17" t="s">
        <v>167</v>
      </c>
      <c r="E102" s="17">
        <v>0</v>
      </c>
      <c r="F102" s="29">
        <v>1900</v>
      </c>
      <c r="G102" s="90">
        <f t="shared" si="4"/>
        <v>0</v>
      </c>
      <c r="H102" s="90">
        <f t="shared" si="5"/>
        <v>0</v>
      </c>
      <c r="I102" s="17"/>
    </row>
    <row r="103" spans="2:9" ht="14.25">
      <c r="B103" s="16"/>
      <c r="C103" s="16" t="s">
        <v>93</v>
      </c>
      <c r="D103" s="17"/>
      <c r="E103" s="17"/>
      <c r="F103" s="29"/>
      <c r="G103" s="29">
        <f>(G96+G97+G100+G101+G102)*0.1</f>
        <v>8111530.359999999</v>
      </c>
      <c r="H103" s="90">
        <f t="shared" si="5"/>
        <v>8922683.396</v>
      </c>
      <c r="I103" s="17"/>
    </row>
    <row r="104" spans="2:13" s="94" customFormat="1" ht="15">
      <c r="B104" s="95"/>
      <c r="C104" s="95" t="s">
        <v>168</v>
      </c>
      <c r="D104" s="96"/>
      <c r="E104" s="96"/>
      <c r="F104" s="97"/>
      <c r="G104" s="98">
        <f>G96+G97+G100+G101+G102+G103</f>
        <v>89226833.96</v>
      </c>
      <c r="H104" s="98">
        <f t="shared" si="5"/>
        <v>98149517.356</v>
      </c>
      <c r="I104" s="85" t="s">
        <v>169</v>
      </c>
      <c r="K104" s="140">
        <f>H104/60</f>
        <v>1635825.2892666669</v>
      </c>
      <c r="L104" s="94" t="s">
        <v>241</v>
      </c>
      <c r="M104" s="94">
        <f>150*1.6</f>
        <v>240</v>
      </c>
    </row>
    <row r="105" spans="2:9" s="99" customFormat="1" ht="15">
      <c r="B105" s="100"/>
      <c r="C105" s="100"/>
      <c r="D105" s="101"/>
      <c r="E105" s="101"/>
      <c r="F105" s="102"/>
      <c r="G105" s="103"/>
      <c r="H105" s="103"/>
      <c r="I105" s="104"/>
    </row>
    <row r="106" spans="2:9" s="25" customFormat="1" ht="15">
      <c r="B106" s="105" t="s">
        <v>170</v>
      </c>
      <c r="C106" s="105" t="s">
        <v>171</v>
      </c>
      <c r="D106" s="106"/>
      <c r="E106" s="106"/>
      <c r="F106" s="107"/>
      <c r="G106" s="107"/>
      <c r="H106" s="107"/>
      <c r="I106" s="108"/>
    </row>
    <row r="107" spans="2:9" s="20" customFormat="1" ht="14.25">
      <c r="B107" s="17" t="s">
        <v>6</v>
      </c>
      <c r="C107" s="17" t="s">
        <v>156</v>
      </c>
      <c r="D107" s="17" t="s">
        <v>172</v>
      </c>
      <c r="E107" s="17" t="s">
        <v>173</v>
      </c>
      <c r="F107" s="29" t="s">
        <v>174</v>
      </c>
      <c r="G107" s="29" t="s">
        <v>9</v>
      </c>
      <c r="H107" s="29" t="s">
        <v>89</v>
      </c>
      <c r="I107" s="17"/>
    </row>
    <row r="108" spans="2:9" s="86" customFormat="1" ht="15">
      <c r="B108" s="65">
        <v>1</v>
      </c>
      <c r="C108" s="109" t="s">
        <v>175</v>
      </c>
      <c r="D108" s="65"/>
      <c r="E108" s="65"/>
      <c r="F108" s="66"/>
      <c r="G108" s="66">
        <f>SUM(G109:G117)</f>
        <v>1463086</v>
      </c>
      <c r="H108" s="66">
        <f>G108*1.1</f>
        <v>1609394.6</v>
      </c>
      <c r="I108" s="85" t="s">
        <v>176</v>
      </c>
    </row>
    <row r="109" spans="2:9" ht="14.25">
      <c r="B109" s="16" t="s">
        <v>57</v>
      </c>
      <c r="C109" s="16" t="s">
        <v>177</v>
      </c>
      <c r="D109" s="17"/>
      <c r="E109" s="17"/>
      <c r="F109" s="29"/>
      <c r="G109" s="29"/>
      <c r="H109" s="29"/>
      <c r="I109" s="17"/>
    </row>
    <row r="110" spans="2:9" ht="14.25">
      <c r="B110" s="16" t="s">
        <v>58</v>
      </c>
      <c r="C110" s="16" t="s">
        <v>178</v>
      </c>
      <c r="D110" s="17"/>
      <c r="E110" s="17"/>
      <c r="F110" s="29"/>
      <c r="G110" s="29">
        <v>120000</v>
      </c>
      <c r="H110" s="29">
        <f>G110*1.1</f>
        <v>132000</v>
      </c>
      <c r="I110" s="17"/>
    </row>
    <row r="111" spans="2:9" ht="14.25">
      <c r="B111" s="16" t="s">
        <v>59</v>
      </c>
      <c r="C111" s="16" t="s">
        <v>179</v>
      </c>
      <c r="D111" s="17"/>
      <c r="E111" s="17"/>
      <c r="F111" s="29"/>
      <c r="G111" s="29">
        <v>30000</v>
      </c>
      <c r="H111" s="29">
        <f aca="true" t="shared" si="6" ref="H111:H117">G111*1.1</f>
        <v>33000</v>
      </c>
      <c r="I111" s="17"/>
    </row>
    <row r="112" spans="2:9" ht="14.25">
      <c r="B112" s="16" t="s">
        <v>60</v>
      </c>
      <c r="C112" s="16" t="s">
        <v>180</v>
      </c>
      <c r="D112" s="17"/>
      <c r="E112" s="17"/>
      <c r="F112" s="29"/>
      <c r="G112" s="29">
        <v>600000</v>
      </c>
      <c r="H112" s="29">
        <f t="shared" si="6"/>
        <v>660000</v>
      </c>
      <c r="I112" s="17"/>
    </row>
    <row r="113" spans="2:9" ht="14.25">
      <c r="B113" s="16" t="s">
        <v>63</v>
      </c>
      <c r="C113" s="16" t="s">
        <v>181</v>
      </c>
      <c r="D113" s="17"/>
      <c r="E113" s="17"/>
      <c r="F113" s="29"/>
      <c r="G113" s="29">
        <v>100000</v>
      </c>
      <c r="H113" s="29">
        <f t="shared" si="6"/>
        <v>110000.00000000001</v>
      </c>
      <c r="I113" s="17"/>
    </row>
    <row r="114" spans="2:9" ht="14.25">
      <c r="B114" s="16" t="s">
        <v>182</v>
      </c>
      <c r="C114" s="16" t="s">
        <v>183</v>
      </c>
      <c r="D114" s="17"/>
      <c r="E114" s="17"/>
      <c r="F114" s="29"/>
      <c r="G114" s="29"/>
      <c r="H114" s="29">
        <f t="shared" si="6"/>
        <v>0</v>
      </c>
      <c r="I114" s="17"/>
    </row>
    <row r="115" spans="2:9" ht="14.25">
      <c r="B115" s="16" t="s">
        <v>184</v>
      </c>
      <c r="C115" s="16" t="s">
        <v>185</v>
      </c>
      <c r="D115" s="17"/>
      <c r="E115" s="17"/>
      <c r="F115" s="29"/>
      <c r="G115" s="29"/>
      <c r="H115" s="29">
        <f t="shared" si="6"/>
        <v>0</v>
      </c>
      <c r="I115" s="17"/>
    </row>
    <row r="116" spans="2:9" ht="14.25">
      <c r="B116" s="16" t="s">
        <v>186</v>
      </c>
      <c r="C116" s="16" t="s">
        <v>187</v>
      </c>
      <c r="D116" s="17"/>
      <c r="E116" s="110"/>
      <c r="F116" s="29"/>
      <c r="G116" s="29">
        <v>556600</v>
      </c>
      <c r="H116" s="29">
        <f t="shared" si="6"/>
        <v>612260</v>
      </c>
      <c r="I116" s="17"/>
    </row>
    <row r="117" spans="2:9" ht="14.25">
      <c r="B117" s="16" t="s">
        <v>188</v>
      </c>
      <c r="C117" s="16" t="s">
        <v>189</v>
      </c>
      <c r="D117" s="17"/>
      <c r="E117" s="17"/>
      <c r="F117" s="29"/>
      <c r="G117" s="29">
        <v>56486</v>
      </c>
      <c r="H117" s="29">
        <f t="shared" si="6"/>
        <v>62134.600000000006</v>
      </c>
      <c r="I117" s="17"/>
    </row>
    <row r="118" spans="2:9" s="30" customFormat="1" ht="15">
      <c r="B118" s="31">
        <v>2</v>
      </c>
      <c r="C118" s="31" t="s">
        <v>190</v>
      </c>
      <c r="D118" s="65"/>
      <c r="E118" s="65"/>
      <c r="F118" s="66"/>
      <c r="G118" s="66">
        <f>SUM(G119:G129)</f>
        <v>95657911.55243014</v>
      </c>
      <c r="H118" s="66">
        <f>G118*1.1</f>
        <v>105223702.70767316</v>
      </c>
      <c r="I118" s="85" t="s">
        <v>191</v>
      </c>
    </row>
    <row r="119" spans="2:9" s="111" customFormat="1" ht="14.25">
      <c r="B119" s="112" t="s">
        <v>45</v>
      </c>
      <c r="C119" s="112" t="s">
        <v>192</v>
      </c>
      <c r="D119" s="85"/>
      <c r="E119" s="85"/>
      <c r="F119" s="113"/>
      <c r="G119" s="113">
        <v>700000</v>
      </c>
      <c r="H119" s="113">
        <f>G119*1.1</f>
        <v>770000.0000000001</v>
      </c>
      <c r="I119" s="85"/>
    </row>
    <row r="120" spans="2:9" s="111" customFormat="1" ht="14.25">
      <c r="B120" s="112" t="s">
        <v>47</v>
      </c>
      <c r="C120" s="112" t="s">
        <v>193</v>
      </c>
      <c r="D120" s="85"/>
      <c r="E120" s="85"/>
      <c r="F120" s="113"/>
      <c r="G120" s="113">
        <v>60000</v>
      </c>
      <c r="H120" s="113">
        <f>G120*1.1</f>
        <v>66000</v>
      </c>
      <c r="I120" s="85"/>
    </row>
    <row r="121" spans="2:9" s="111" customFormat="1" ht="14.25">
      <c r="B121" s="16" t="s">
        <v>53</v>
      </c>
      <c r="C121" s="112" t="s">
        <v>194</v>
      </c>
      <c r="D121" s="85"/>
      <c r="E121" s="85"/>
      <c r="F121" s="113"/>
      <c r="G121" s="113">
        <f>G104</f>
        <v>89226833.96</v>
      </c>
      <c r="H121" s="113">
        <f>H104</f>
        <v>98149517.356</v>
      </c>
      <c r="I121" s="85"/>
    </row>
    <row r="122" spans="2:9" s="111" customFormat="1" ht="14.25">
      <c r="B122" s="112" t="s">
        <v>54</v>
      </c>
      <c r="C122" s="112" t="s">
        <v>195</v>
      </c>
      <c r="D122" s="85"/>
      <c r="E122" s="114">
        <v>0.0078</v>
      </c>
      <c r="F122" s="113">
        <f>G92</f>
        <v>76114144.03999999</v>
      </c>
      <c r="G122" s="113">
        <f>F122*0.78/100</f>
        <v>593690.3235119999</v>
      </c>
      <c r="H122" s="113">
        <f aca="true" t="shared" si="7" ref="H122:H133">G122*1.1</f>
        <v>653059.3558631999</v>
      </c>
      <c r="I122" s="85"/>
    </row>
    <row r="123" spans="2:9" s="111" customFormat="1" ht="14.25">
      <c r="B123" s="16" t="s">
        <v>55</v>
      </c>
      <c r="C123" s="112" t="s">
        <v>196</v>
      </c>
      <c r="D123" s="85"/>
      <c r="E123" s="115">
        <v>0.000376</v>
      </c>
      <c r="F123" s="113">
        <f>G92</f>
        <v>76114144.03999999</v>
      </c>
      <c r="G123" s="113">
        <f>F123*0.0376/100</f>
        <v>28618.918159039997</v>
      </c>
      <c r="H123" s="113">
        <f t="shared" si="7"/>
        <v>31480.809974943997</v>
      </c>
      <c r="I123" s="85"/>
    </row>
    <row r="124" spans="2:9" s="111" customFormat="1" ht="14.25">
      <c r="B124" s="112" t="s">
        <v>75</v>
      </c>
      <c r="C124" s="112" t="s">
        <v>197</v>
      </c>
      <c r="D124" s="85"/>
      <c r="E124" s="115">
        <v>0.000338</v>
      </c>
      <c r="F124" s="113">
        <f>G92</f>
        <v>76114144.03999999</v>
      </c>
      <c r="G124" s="113">
        <f>F124*0.0338/100</f>
        <v>25726.580685519995</v>
      </c>
      <c r="H124" s="113">
        <f t="shared" si="7"/>
        <v>28299.238754071997</v>
      </c>
      <c r="I124" s="85"/>
    </row>
    <row r="125" spans="2:9" s="111" customFormat="1" ht="14.25">
      <c r="B125" s="16" t="s">
        <v>76</v>
      </c>
      <c r="C125" s="112" t="s">
        <v>198</v>
      </c>
      <c r="D125" s="85"/>
      <c r="E125" s="116">
        <v>0.0005</v>
      </c>
      <c r="F125" s="113">
        <f>G92</f>
        <v>76114144.03999999</v>
      </c>
      <c r="G125" s="113">
        <f>F125*0.05/100</f>
        <v>38057.07201999999</v>
      </c>
      <c r="H125" s="113">
        <f t="shared" si="7"/>
        <v>41862.779222</v>
      </c>
      <c r="I125" s="85"/>
    </row>
    <row r="126" spans="2:9" s="111" customFormat="1" ht="14.25">
      <c r="B126" s="112" t="s">
        <v>77</v>
      </c>
      <c r="C126" s="112" t="s">
        <v>199</v>
      </c>
      <c r="D126" s="85"/>
      <c r="E126" s="116">
        <v>0.00434</v>
      </c>
      <c r="F126" s="113">
        <f>G92</f>
        <v>76114144.03999999</v>
      </c>
      <c r="G126" s="113">
        <f>F126*0.434/100</f>
        <v>330335.3851336</v>
      </c>
      <c r="H126" s="113">
        <f t="shared" si="7"/>
        <v>363368.92364696</v>
      </c>
      <c r="I126" s="85"/>
    </row>
    <row r="127" spans="2:9" s="111" customFormat="1" ht="14.25">
      <c r="B127" s="16" t="s">
        <v>78</v>
      </c>
      <c r="C127" s="112" t="s">
        <v>200</v>
      </c>
      <c r="D127" s="85"/>
      <c r="E127" s="117">
        <v>0.02</v>
      </c>
      <c r="F127" s="113">
        <f>G92</f>
        <v>76114144.03999999</v>
      </c>
      <c r="G127" s="113">
        <f>F127*2/100</f>
        <v>1522282.8808</v>
      </c>
      <c r="H127" s="113">
        <f t="shared" si="7"/>
        <v>1674511.16888</v>
      </c>
      <c r="I127" s="85"/>
    </row>
    <row r="128" spans="2:9" s="111" customFormat="1" ht="14.25">
      <c r="B128" s="112" t="s">
        <v>79</v>
      </c>
      <c r="C128" s="112" t="s">
        <v>201</v>
      </c>
      <c r="D128" s="85"/>
      <c r="E128" s="85" t="s">
        <v>202</v>
      </c>
      <c r="F128" s="113">
        <f>'[1]chitiet'!F35</f>
        <v>484004</v>
      </c>
      <c r="G128" s="113">
        <f>F128*6</f>
        <v>2904024</v>
      </c>
      <c r="H128" s="113">
        <f t="shared" si="7"/>
        <v>3194426.4000000004</v>
      </c>
      <c r="I128" s="85"/>
    </row>
    <row r="129" spans="2:9" s="111" customFormat="1" ht="14.25">
      <c r="B129" s="16" t="s">
        <v>80</v>
      </c>
      <c r="C129" s="112" t="s">
        <v>203</v>
      </c>
      <c r="D129" s="85"/>
      <c r="E129" s="114">
        <v>0.003</v>
      </c>
      <c r="F129" s="113">
        <f>G92</f>
        <v>76114144.03999999</v>
      </c>
      <c r="G129" s="113">
        <f>F129*0.3/100</f>
        <v>228342.43211999998</v>
      </c>
      <c r="H129" s="113">
        <f t="shared" si="7"/>
        <v>251176.675332</v>
      </c>
      <c r="I129" s="85"/>
    </row>
    <row r="130" spans="2:9" s="30" customFormat="1" ht="15">
      <c r="B130" s="31">
        <v>3</v>
      </c>
      <c r="C130" s="31" t="s">
        <v>204</v>
      </c>
      <c r="D130" s="65"/>
      <c r="E130" s="65"/>
      <c r="F130" s="66"/>
      <c r="G130" s="66">
        <v>20000</v>
      </c>
      <c r="H130" s="66">
        <f t="shared" si="7"/>
        <v>22000</v>
      </c>
      <c r="I130" s="67"/>
    </row>
    <row r="131" spans="2:9" s="111" customFormat="1" ht="14.25">
      <c r="B131" s="112" t="s">
        <v>81</v>
      </c>
      <c r="C131" s="112" t="s">
        <v>205</v>
      </c>
      <c r="D131" s="85"/>
      <c r="E131" s="85"/>
      <c r="F131" s="113"/>
      <c r="G131" s="113">
        <v>50000</v>
      </c>
      <c r="H131" s="113">
        <f t="shared" si="7"/>
        <v>55000.00000000001</v>
      </c>
      <c r="I131" s="85"/>
    </row>
    <row r="132" spans="2:9" s="111" customFormat="1" ht="14.25">
      <c r="B132" s="112" t="s">
        <v>82</v>
      </c>
      <c r="C132" s="112" t="s">
        <v>206</v>
      </c>
      <c r="D132" s="85"/>
      <c r="E132" s="85"/>
      <c r="F132" s="113"/>
      <c r="G132" s="113">
        <v>50000</v>
      </c>
      <c r="H132" s="113">
        <f t="shared" si="7"/>
        <v>55000.00000000001</v>
      </c>
      <c r="I132" s="85"/>
    </row>
    <row r="133" spans="2:9" s="81" customFormat="1" ht="15">
      <c r="B133" s="82" t="s">
        <v>170</v>
      </c>
      <c r="C133" s="82" t="s">
        <v>207</v>
      </c>
      <c r="D133" s="83"/>
      <c r="E133" s="83"/>
      <c r="F133" s="84"/>
      <c r="G133" s="84">
        <f>G130+G118+G108</f>
        <v>97140997.55243014</v>
      </c>
      <c r="H133" s="84">
        <f t="shared" si="7"/>
        <v>106855097.30767316</v>
      </c>
      <c r="I133" s="118"/>
    </row>
    <row r="134" spans="2:9" ht="14.25">
      <c r="B134" s="16"/>
      <c r="C134" s="16"/>
      <c r="D134" s="17"/>
      <c r="E134" s="17"/>
      <c r="F134" s="29"/>
      <c r="G134" s="29"/>
      <c r="H134" s="29"/>
      <c r="I134" s="17"/>
    </row>
    <row r="135" spans="2:9" s="25" customFormat="1" ht="15">
      <c r="B135" s="105" t="s">
        <v>208</v>
      </c>
      <c r="C135" s="105" t="s">
        <v>209</v>
      </c>
      <c r="D135" s="106"/>
      <c r="E135" s="106"/>
      <c r="F135" s="107"/>
      <c r="G135" s="107">
        <f>(G92+G106)*0.1</f>
        <v>7611414.403999999</v>
      </c>
      <c r="H135" s="107">
        <f>G135*1.1</f>
        <v>8372555.8444</v>
      </c>
      <c r="I135" s="108"/>
    </row>
    <row r="136" spans="2:9" s="119" customFormat="1" ht="15">
      <c r="B136" s="120"/>
      <c r="C136" s="120" t="s">
        <v>210</v>
      </c>
      <c r="D136" s="121"/>
      <c r="E136" s="121"/>
      <c r="F136" s="122"/>
      <c r="G136" s="122">
        <f>G92+G133+G135</f>
        <v>180866555.9964301</v>
      </c>
      <c r="H136" s="122">
        <f>G136*1.1</f>
        <v>198953211.59607312</v>
      </c>
      <c r="I136" s="85" t="s">
        <v>211</v>
      </c>
    </row>
    <row r="137" spans="2:9" s="99" customFormat="1" ht="15">
      <c r="B137" s="100"/>
      <c r="C137" s="100"/>
      <c r="D137" s="101"/>
      <c r="E137" s="101"/>
      <c r="F137" s="102"/>
      <c r="G137" s="102"/>
      <c r="H137" s="102"/>
      <c r="I137" s="104"/>
    </row>
    <row r="138" spans="2:9" s="123" customFormat="1" ht="15">
      <c r="B138" s="124" t="s">
        <v>212</v>
      </c>
      <c r="C138" s="124" t="s">
        <v>213</v>
      </c>
      <c r="D138" s="17" t="s">
        <v>86</v>
      </c>
      <c r="E138" s="17" t="s">
        <v>87</v>
      </c>
      <c r="F138" s="29" t="s">
        <v>88</v>
      </c>
      <c r="G138" s="29" t="s">
        <v>214</v>
      </c>
      <c r="H138" s="29" t="s">
        <v>89</v>
      </c>
      <c r="I138" s="125"/>
    </row>
    <row r="139" spans="2:9" s="94" customFormat="1" ht="15">
      <c r="B139" s="95">
        <v>1</v>
      </c>
      <c r="C139" s="95" t="s">
        <v>215</v>
      </c>
      <c r="D139" s="96"/>
      <c r="E139" s="96"/>
      <c r="F139" s="97"/>
      <c r="G139" s="97">
        <f>SUM(G140:G141)</f>
        <v>35503820</v>
      </c>
      <c r="H139" s="97">
        <f>SUM(H140:H141)</f>
        <v>39054202</v>
      </c>
      <c r="I139" s="85"/>
    </row>
    <row r="140" spans="2:9" s="126" customFormat="1" ht="14.25">
      <c r="B140" s="21"/>
      <c r="C140" s="21" t="s">
        <v>216</v>
      </c>
      <c r="D140" s="104" t="s">
        <v>94</v>
      </c>
      <c r="E140" s="127">
        <f>'[1]chitiet'!K7</f>
        <v>17087.4</v>
      </c>
      <c r="F140" s="127">
        <v>2000</v>
      </c>
      <c r="G140" s="127">
        <f>F140*E140</f>
        <v>34174800</v>
      </c>
      <c r="H140" s="127">
        <f>G140*1.1</f>
        <v>37592280</v>
      </c>
      <c r="I140" s="104"/>
    </row>
    <row r="141" spans="2:9" s="126" customFormat="1" ht="14.25">
      <c r="B141" s="21"/>
      <c r="C141" s="21" t="s">
        <v>217</v>
      </c>
      <c r="D141" s="104" t="s">
        <v>94</v>
      </c>
      <c r="E141" s="127">
        <f>'[1]chitiet'!F7-'[1]chitiet'!G7</f>
        <v>13290.2</v>
      </c>
      <c r="F141" s="127">
        <v>100</v>
      </c>
      <c r="G141" s="127">
        <f>F141*E141</f>
        <v>1329020</v>
      </c>
      <c r="H141" s="127">
        <f>G141*1.1</f>
        <v>1461922.0000000002</v>
      </c>
      <c r="I141" s="104"/>
    </row>
    <row r="142" spans="2:9" s="94" customFormat="1" ht="15">
      <c r="B142" s="95">
        <v>2</v>
      </c>
      <c r="C142" s="95" t="s">
        <v>218</v>
      </c>
      <c r="D142" s="96"/>
      <c r="E142" s="97"/>
      <c r="F142" s="97"/>
      <c r="G142" s="97">
        <f>SUM(G143:G144)</f>
        <v>155884050</v>
      </c>
      <c r="H142" s="97">
        <f>SUM(H143:H144)</f>
        <v>171472455</v>
      </c>
      <c r="I142" s="85"/>
    </row>
    <row r="143" spans="2:9" s="126" customFormat="1" ht="14.25">
      <c r="B143" s="21"/>
      <c r="C143" s="21" t="s">
        <v>216</v>
      </c>
      <c r="D143" s="104" t="s">
        <v>94</v>
      </c>
      <c r="E143" s="127">
        <f>'[1]chitiet'!K8</f>
        <v>85669.5</v>
      </c>
      <c r="F143" s="127">
        <v>1500</v>
      </c>
      <c r="G143" s="127">
        <f>F143*E143</f>
        <v>128504250</v>
      </c>
      <c r="H143" s="127">
        <f aca="true" t="shared" si="8" ref="H143:H158">G143*1.1</f>
        <v>141354675</v>
      </c>
      <c r="I143" s="104"/>
    </row>
    <row r="144" spans="2:9" ht="14.25">
      <c r="B144" s="16"/>
      <c r="C144" s="21" t="s">
        <v>217</v>
      </c>
      <c r="D144" s="104" t="s">
        <v>94</v>
      </c>
      <c r="E144" s="29">
        <f>'[1]chitiet'!F8-'[1]chitiet'!G8</f>
        <v>91266</v>
      </c>
      <c r="F144" s="29">
        <v>300</v>
      </c>
      <c r="G144" s="127">
        <f>F144*E144</f>
        <v>27379800</v>
      </c>
      <c r="H144" s="127">
        <f t="shared" si="8"/>
        <v>30117780.000000004</v>
      </c>
      <c r="I144" s="17"/>
    </row>
    <row r="145" spans="2:9" s="94" customFormat="1" ht="15">
      <c r="B145" s="95">
        <v>3</v>
      </c>
      <c r="C145" s="95" t="s">
        <v>61</v>
      </c>
      <c r="D145" s="96"/>
      <c r="E145" s="97"/>
      <c r="F145" s="97"/>
      <c r="G145" s="97">
        <f>SUM(G146:G147)</f>
        <v>3240770</v>
      </c>
      <c r="H145" s="97">
        <f t="shared" si="8"/>
        <v>3564847.0000000005</v>
      </c>
      <c r="I145" s="85"/>
    </row>
    <row r="146" spans="2:9" ht="14.25">
      <c r="B146" s="16"/>
      <c r="C146" s="21" t="s">
        <v>216</v>
      </c>
      <c r="D146" s="104" t="s">
        <v>94</v>
      </c>
      <c r="E146" s="29">
        <f>'[1]chitiet'!K15</f>
        <v>2004.6</v>
      </c>
      <c r="F146" s="29">
        <v>1500</v>
      </c>
      <c r="G146" s="127">
        <f>F146*E146</f>
        <v>3006900</v>
      </c>
      <c r="H146" s="127">
        <f t="shared" si="8"/>
        <v>3307590.0000000005</v>
      </c>
      <c r="I146" s="17"/>
    </row>
    <row r="147" spans="2:9" ht="14.25">
      <c r="B147" s="16"/>
      <c r="C147" s="21" t="s">
        <v>217</v>
      </c>
      <c r="D147" s="104" t="s">
        <v>94</v>
      </c>
      <c r="E147" s="29">
        <f>'[1]chitiet'!F14-'[1]chitiet'!G15-'[1]chitiet'!F16</f>
        <v>2338.7000000000007</v>
      </c>
      <c r="F147" s="29">
        <v>100</v>
      </c>
      <c r="G147" s="127">
        <f>F147*E147</f>
        <v>233870.00000000006</v>
      </c>
      <c r="H147" s="127">
        <f t="shared" si="8"/>
        <v>257257.0000000001</v>
      </c>
      <c r="I147" s="17"/>
    </row>
    <row r="148" spans="2:9" s="94" customFormat="1" ht="15">
      <c r="B148" s="95">
        <v>4</v>
      </c>
      <c r="C148" s="95" t="s">
        <v>219</v>
      </c>
      <c r="D148" s="96"/>
      <c r="E148" s="97"/>
      <c r="F148" s="97"/>
      <c r="G148" s="97">
        <f>SUM(G149)</f>
        <v>2630100</v>
      </c>
      <c r="H148" s="97">
        <f t="shared" si="8"/>
        <v>2893110.0000000005</v>
      </c>
      <c r="I148" s="85"/>
    </row>
    <row r="149" spans="2:9" ht="14.25">
      <c r="B149" s="16"/>
      <c r="C149" s="21" t="s">
        <v>217</v>
      </c>
      <c r="D149" s="17" t="s">
        <v>94</v>
      </c>
      <c r="E149" s="29">
        <f>'[1]chitiet'!F17</f>
        <v>8767</v>
      </c>
      <c r="F149" s="29">
        <v>300</v>
      </c>
      <c r="G149" s="127">
        <f>F149*E149</f>
        <v>2630100</v>
      </c>
      <c r="H149" s="127">
        <f t="shared" si="8"/>
        <v>2893110.0000000005</v>
      </c>
      <c r="I149" s="17"/>
    </row>
    <row r="150" spans="2:9" s="94" customFormat="1" ht="15">
      <c r="B150" s="95">
        <v>5</v>
      </c>
      <c r="C150" s="95" t="s">
        <v>220</v>
      </c>
      <c r="D150" s="96"/>
      <c r="E150" s="97"/>
      <c r="F150" s="97"/>
      <c r="G150" s="97">
        <f>SUM(G151:G152)</f>
        <v>18523500</v>
      </c>
      <c r="H150" s="97">
        <f>SUM(H151:H152)</f>
        <v>20375850.000000004</v>
      </c>
      <c r="I150" s="85"/>
    </row>
    <row r="151" spans="2:9" ht="14.25">
      <c r="B151" s="16"/>
      <c r="C151" s="21" t="s">
        <v>217</v>
      </c>
      <c r="D151" s="17" t="s">
        <v>94</v>
      </c>
      <c r="E151" s="29">
        <f>'[1]chitiet'!F21</f>
        <v>43490</v>
      </c>
      <c r="F151" s="29">
        <v>150</v>
      </c>
      <c r="G151" s="127">
        <f>F151*E151</f>
        <v>6523500</v>
      </c>
      <c r="H151" s="127">
        <f t="shared" si="8"/>
        <v>7175850.000000001</v>
      </c>
      <c r="I151" s="17"/>
    </row>
    <row r="152" spans="2:9" ht="14.25">
      <c r="B152" s="16"/>
      <c r="C152" s="21" t="s">
        <v>221</v>
      </c>
      <c r="D152" s="17" t="s">
        <v>94</v>
      </c>
      <c r="E152" s="29">
        <f>'[1]chitiet'!F22</f>
        <v>120000</v>
      </c>
      <c r="F152" s="29">
        <v>100</v>
      </c>
      <c r="G152" s="127">
        <f>F152*E152</f>
        <v>12000000</v>
      </c>
      <c r="H152" s="127">
        <f t="shared" si="8"/>
        <v>13200000.000000002</v>
      </c>
      <c r="I152" s="17"/>
    </row>
    <row r="153" spans="2:9" s="94" customFormat="1" ht="15">
      <c r="B153" s="95">
        <v>6</v>
      </c>
      <c r="C153" s="95" t="s">
        <v>222</v>
      </c>
      <c r="D153" s="96"/>
      <c r="E153" s="97"/>
      <c r="F153" s="97"/>
      <c r="G153" s="97">
        <f>SUM(G154)</f>
        <v>1223200</v>
      </c>
      <c r="H153" s="97">
        <f t="shared" si="8"/>
        <v>1345520</v>
      </c>
      <c r="I153" s="85"/>
    </row>
    <row r="154" spans="2:9" ht="14.25">
      <c r="B154" s="16"/>
      <c r="C154" s="21" t="s">
        <v>217</v>
      </c>
      <c r="D154" s="17" t="s">
        <v>94</v>
      </c>
      <c r="E154" s="29">
        <f>'[1]chitiet'!F23</f>
        <v>12232</v>
      </c>
      <c r="F154" s="29">
        <v>100</v>
      </c>
      <c r="G154" s="127">
        <f>F154*E154</f>
        <v>1223200</v>
      </c>
      <c r="H154" s="127">
        <f t="shared" si="8"/>
        <v>1345520</v>
      </c>
      <c r="I154" s="17"/>
    </row>
    <row r="155" spans="2:9" s="94" customFormat="1" ht="15">
      <c r="B155" s="95">
        <v>7</v>
      </c>
      <c r="C155" s="95" t="s">
        <v>223</v>
      </c>
      <c r="D155" s="96"/>
      <c r="E155" s="97"/>
      <c r="F155" s="97"/>
      <c r="G155" s="97">
        <f>SUM(G156:G157)</f>
        <v>2056660</v>
      </c>
      <c r="H155" s="97">
        <f t="shared" si="8"/>
        <v>2262326</v>
      </c>
      <c r="I155" s="85"/>
    </row>
    <row r="156" spans="2:9" ht="14.25">
      <c r="B156" s="16"/>
      <c r="C156" s="21" t="s">
        <v>216</v>
      </c>
      <c r="D156" s="104" t="s">
        <v>94</v>
      </c>
      <c r="E156" s="29">
        <f>'[1]chitiet'!K26</f>
        <v>604.9</v>
      </c>
      <c r="F156" s="29">
        <v>1500</v>
      </c>
      <c r="G156" s="127">
        <f>F156*E156</f>
        <v>907350</v>
      </c>
      <c r="H156" s="127">
        <f t="shared" si="8"/>
        <v>998085.0000000001</v>
      </c>
      <c r="I156" s="17"/>
    </row>
    <row r="157" spans="2:9" ht="14.25">
      <c r="B157" s="16"/>
      <c r="C157" s="21" t="s">
        <v>217</v>
      </c>
      <c r="D157" s="104" t="s">
        <v>94</v>
      </c>
      <c r="E157" s="29">
        <f>'[1]chitiet'!F26-'[1]chitiet'!G26</f>
        <v>11493.1</v>
      </c>
      <c r="F157" s="29">
        <v>100</v>
      </c>
      <c r="G157" s="127">
        <f>F157*E157</f>
        <v>1149310</v>
      </c>
      <c r="H157" s="127">
        <f t="shared" si="8"/>
        <v>1264241</v>
      </c>
      <c r="I157" s="17"/>
    </row>
    <row r="158" spans="2:9" s="123" customFormat="1" ht="15">
      <c r="B158" s="124"/>
      <c r="C158" s="124" t="s">
        <v>224</v>
      </c>
      <c r="D158" s="128"/>
      <c r="E158" s="128"/>
      <c r="F158" s="129"/>
      <c r="G158" s="129">
        <f>G139+G142+G145+G148+G150+G153+G155</f>
        <v>219062100</v>
      </c>
      <c r="H158" s="129">
        <f t="shared" si="8"/>
        <v>240968310.00000003</v>
      </c>
      <c r="I158" s="125"/>
    </row>
    <row r="159" spans="2:9" s="123" customFormat="1" ht="15">
      <c r="B159" s="124"/>
      <c r="C159" s="124" t="s">
        <v>93</v>
      </c>
      <c r="D159" s="128"/>
      <c r="E159" s="128"/>
      <c r="F159" s="129"/>
      <c r="G159" s="129">
        <f>G158*0.1</f>
        <v>21906210</v>
      </c>
      <c r="H159" s="129">
        <f>H158*0.1</f>
        <v>24096831.000000004</v>
      </c>
      <c r="I159" s="125"/>
    </row>
    <row r="160" spans="2:9" s="123" customFormat="1" ht="15">
      <c r="B160" s="124" t="s">
        <v>212</v>
      </c>
      <c r="C160" s="124" t="s">
        <v>225</v>
      </c>
      <c r="D160" s="128"/>
      <c r="E160" s="128"/>
      <c r="F160" s="129"/>
      <c r="G160" s="129">
        <f>G158+G159</f>
        <v>240968310</v>
      </c>
      <c r="H160" s="129">
        <f>H158+H159</f>
        <v>265065141.00000003</v>
      </c>
      <c r="I160" s="125"/>
    </row>
    <row r="161" spans="2:9" ht="14.25">
      <c r="B161" s="16"/>
      <c r="C161" s="16"/>
      <c r="D161" s="17"/>
      <c r="E161" s="17"/>
      <c r="F161" s="29"/>
      <c r="G161" s="29"/>
      <c r="H161" s="29"/>
      <c r="I161" s="17"/>
    </row>
    <row r="162" spans="2:9" s="130" customFormat="1" ht="15">
      <c r="B162" s="131"/>
      <c r="C162" s="131" t="s">
        <v>226</v>
      </c>
      <c r="D162" s="132"/>
      <c r="E162" s="132"/>
      <c r="F162" s="133"/>
      <c r="G162" s="133">
        <f>G136+G160</f>
        <v>421834865.9964301</v>
      </c>
      <c r="H162" s="134">
        <f>G162*1.1</f>
        <v>464018352.59607315</v>
      </c>
      <c r="I162" s="135"/>
    </row>
    <row r="163" ht="14.25">
      <c r="I163" s="17"/>
    </row>
    <row r="164" spans="2:9" s="123" customFormat="1" ht="15">
      <c r="B164" s="124" t="s">
        <v>227</v>
      </c>
      <c r="C164" s="124" t="s">
        <v>228</v>
      </c>
      <c r="D164" s="128" t="s">
        <v>86</v>
      </c>
      <c r="E164" s="128" t="s">
        <v>87</v>
      </c>
      <c r="F164" s="129" t="s">
        <v>229</v>
      </c>
      <c r="G164" s="129" t="s">
        <v>230</v>
      </c>
      <c r="H164" s="136"/>
      <c r="I164" s="125"/>
    </row>
    <row r="165" spans="2:9" ht="14.25">
      <c r="B165" s="16">
        <v>1</v>
      </c>
      <c r="C165" s="16" t="s">
        <v>231</v>
      </c>
      <c r="D165" s="17" t="s">
        <v>94</v>
      </c>
      <c r="E165" s="17">
        <f>'[1]chitiet'!F10+'[1]chitiet'!F11</f>
        <v>34153</v>
      </c>
      <c r="F165" s="29">
        <v>180</v>
      </c>
      <c r="G165" s="29">
        <f>E165*F165</f>
        <v>6147540</v>
      </c>
      <c r="H165" s="137" t="s">
        <v>232</v>
      </c>
      <c r="I165" s="17"/>
    </row>
    <row r="166" spans="2:9" ht="14.25">
      <c r="B166" s="16">
        <v>2</v>
      </c>
      <c r="C166" s="16" t="s">
        <v>233</v>
      </c>
      <c r="D166" s="17" t="s">
        <v>94</v>
      </c>
      <c r="E166" s="89">
        <f>'[1]chitiet'!K8</f>
        <v>85669.5</v>
      </c>
      <c r="F166" s="29">
        <v>300</v>
      </c>
      <c r="G166" s="29">
        <f>E166*F166</f>
        <v>25700850</v>
      </c>
      <c r="H166" s="137" t="s">
        <v>234</v>
      </c>
      <c r="I166" s="17"/>
    </row>
    <row r="167" spans="2:9" ht="15">
      <c r="B167" s="16">
        <v>3</v>
      </c>
      <c r="C167" s="16" t="s">
        <v>235</v>
      </c>
      <c r="D167" s="17" t="s">
        <v>236</v>
      </c>
      <c r="E167" s="29">
        <v>100000</v>
      </c>
      <c r="F167" s="29">
        <v>100</v>
      </c>
      <c r="G167" s="138">
        <f>E167*F167</f>
        <v>10000000</v>
      </c>
      <c r="H167" s="137"/>
      <c r="I167" s="17"/>
    </row>
    <row r="168" spans="2:9" ht="15">
      <c r="B168" s="16">
        <v>4</v>
      </c>
      <c r="C168" s="16" t="s">
        <v>237</v>
      </c>
      <c r="D168" s="17" t="s">
        <v>18</v>
      </c>
      <c r="E168" s="139">
        <v>16</v>
      </c>
      <c r="F168" s="29">
        <v>200000</v>
      </c>
      <c r="G168" s="138">
        <f>F168*E168</f>
        <v>3200000</v>
      </c>
      <c r="H168" s="137"/>
      <c r="I168" s="17"/>
    </row>
    <row r="169" spans="2:9" s="130" customFormat="1" ht="15">
      <c r="B169" s="131"/>
      <c r="C169" s="131" t="s">
        <v>238</v>
      </c>
      <c r="D169" s="132"/>
      <c r="E169" s="132"/>
      <c r="F169" s="133"/>
      <c r="G169" s="133">
        <f>SUM(G165:G168)</f>
        <v>45048390</v>
      </c>
      <c r="H169" s="134"/>
      <c r="I169" s="135"/>
    </row>
    <row r="170" spans="2:9" ht="14.25">
      <c r="B170" s="16"/>
      <c r="C170" s="16" t="s">
        <v>239</v>
      </c>
      <c r="D170" s="17"/>
      <c r="E170" s="17"/>
      <c r="F170" s="29"/>
      <c r="G170" s="29">
        <f>G169*0.7</f>
        <v>31533872.999999996</v>
      </c>
      <c r="H170" s="137"/>
      <c r="I170" s="17"/>
    </row>
    <row r="171" spans="2:9" ht="14.25">
      <c r="B171" s="16"/>
      <c r="C171" s="16" t="s">
        <v>240</v>
      </c>
      <c r="D171" s="17"/>
      <c r="E171" s="17"/>
      <c r="F171" s="29"/>
      <c r="G171" s="29">
        <f>H162/15</f>
        <v>30934556.83973821</v>
      </c>
      <c r="H171" s="137"/>
      <c r="I171" s="17"/>
    </row>
    <row r="172" spans="2:9" ht="14.25">
      <c r="B172" s="16"/>
      <c r="C172" s="16"/>
      <c r="D172" s="17"/>
      <c r="E172" s="17"/>
      <c r="F172" s="29"/>
      <c r="G172" s="29"/>
      <c r="H172" s="137"/>
      <c r="I172" s="17"/>
    </row>
    <row r="175" spans="3:5" ht="14.25">
      <c r="C175" s="15" t="s">
        <v>156</v>
      </c>
      <c r="D175" s="20" t="s">
        <v>243</v>
      </c>
      <c r="E175" s="20" t="s">
        <v>7</v>
      </c>
    </row>
    <row r="176" spans="3:5" ht="14.25">
      <c r="C176" s="15" t="s">
        <v>244</v>
      </c>
      <c r="E176" s="20">
        <v>400</v>
      </c>
    </row>
    <row r="177" spans="3:5" ht="14.25">
      <c r="C177" s="15" t="s">
        <v>242</v>
      </c>
      <c r="D177" s="20">
        <v>0.01</v>
      </c>
      <c r="E177" s="20">
        <f>E176*0.01</f>
        <v>4</v>
      </c>
    </row>
    <row r="178" spans="3:5" ht="14.25">
      <c r="C178" s="15" t="s">
        <v>245</v>
      </c>
      <c r="E178" s="20">
        <v>240</v>
      </c>
    </row>
    <row r="179" spans="3:5" ht="14.25">
      <c r="C179" s="15" t="s">
        <v>246</v>
      </c>
      <c r="D179" s="20">
        <v>0.06</v>
      </c>
      <c r="E179" s="20">
        <f>E176*D179</f>
        <v>24</v>
      </c>
    </row>
    <row r="180" spans="3:5" ht="14.25">
      <c r="C180" s="15" t="s">
        <v>247</v>
      </c>
      <c r="D180" s="20">
        <v>0.01</v>
      </c>
      <c r="E180" s="20">
        <f>E176*D180</f>
        <v>4</v>
      </c>
    </row>
    <row r="181" spans="3:5" ht="14.25">
      <c r="C181" s="15" t="s">
        <v>248</v>
      </c>
      <c r="E181" s="20">
        <f>SUM(E176:E180)</f>
        <v>672</v>
      </c>
    </row>
    <row r="182" spans="3:5" ht="14.25">
      <c r="C182" s="15" t="s">
        <v>249</v>
      </c>
      <c r="D182" s="20">
        <v>0.1</v>
      </c>
      <c r="E182" s="20">
        <f>E181*D182</f>
        <v>67.2</v>
      </c>
    </row>
    <row r="183" spans="3:5" ht="14.25">
      <c r="C183" s="15" t="s">
        <v>250</v>
      </c>
      <c r="E183" s="20">
        <f>E181+E182</f>
        <v>739.2</v>
      </c>
    </row>
    <row r="187" spans="2:6" ht="28.5">
      <c r="B187" s="426" t="s">
        <v>6</v>
      </c>
      <c r="C187" s="426" t="s">
        <v>251</v>
      </c>
      <c r="D187" s="426" t="s">
        <v>14</v>
      </c>
      <c r="E187" s="141" t="s">
        <v>252</v>
      </c>
      <c r="F187" s="426" t="s">
        <v>254</v>
      </c>
    </row>
    <row r="188" spans="2:6" ht="28.5">
      <c r="B188" s="427"/>
      <c r="C188" s="427"/>
      <c r="D188" s="427"/>
      <c r="E188" s="142" t="s">
        <v>253</v>
      </c>
      <c r="F188" s="427"/>
    </row>
    <row r="189" spans="2:6" ht="14.25">
      <c r="B189" s="143">
        <v>1</v>
      </c>
      <c r="C189" s="144" t="s">
        <v>21</v>
      </c>
      <c r="D189" s="169">
        <v>4830</v>
      </c>
      <c r="E189" s="170">
        <v>8.5</v>
      </c>
      <c r="F189" s="170">
        <f>D189*E189</f>
        <v>41055</v>
      </c>
    </row>
    <row r="190" spans="2:6" ht="14.25">
      <c r="B190" s="143"/>
      <c r="C190" s="144" t="s">
        <v>303</v>
      </c>
      <c r="D190" s="171">
        <v>1960</v>
      </c>
      <c r="E190" s="172">
        <v>8.5</v>
      </c>
      <c r="F190" s="173">
        <f>D190*E190</f>
        <v>16660</v>
      </c>
    </row>
    <row r="191" spans="2:6" ht="14.25">
      <c r="B191" s="143"/>
      <c r="C191" s="144" t="s">
        <v>304</v>
      </c>
      <c r="D191" s="171">
        <v>2870</v>
      </c>
      <c r="E191" s="172">
        <v>8.5</v>
      </c>
      <c r="F191" s="173">
        <f>D191*E191</f>
        <v>24395</v>
      </c>
    </row>
    <row r="192" spans="2:6" ht="14.25">
      <c r="B192" s="143">
        <v>2</v>
      </c>
      <c r="C192" s="144" t="s">
        <v>305</v>
      </c>
      <c r="D192" s="171">
        <v>2490</v>
      </c>
      <c r="E192" s="172">
        <v>7.5</v>
      </c>
      <c r="F192" s="170">
        <f>D192*E192</f>
        <v>18675</v>
      </c>
    </row>
    <row r="193" spans="2:6" ht="14.25">
      <c r="B193" s="143">
        <v>3</v>
      </c>
      <c r="C193" s="144" t="s">
        <v>256</v>
      </c>
      <c r="D193" s="171">
        <v>2780</v>
      </c>
      <c r="E193" s="172">
        <v>6.5</v>
      </c>
      <c r="F193" s="170">
        <f>D193*E193</f>
        <v>18070</v>
      </c>
    </row>
    <row r="194" spans="2:6" ht="14.25">
      <c r="B194" s="174"/>
      <c r="C194" s="142" t="s">
        <v>51</v>
      </c>
      <c r="D194" s="171"/>
      <c r="E194" s="172"/>
      <c r="F194" s="175">
        <f>F189+F192+F193</f>
        <v>77800</v>
      </c>
    </row>
    <row r="198" spans="2:10" ht="14.25">
      <c r="B198" s="145"/>
      <c r="C198" s="145" t="s">
        <v>155</v>
      </c>
      <c r="D198" s="145"/>
      <c r="E198" s="145"/>
      <c r="F198" s="145"/>
      <c r="G198" s="145"/>
      <c r="H198" s="145"/>
      <c r="I198" s="145"/>
      <c r="J198" s="145"/>
    </row>
    <row r="199" spans="2:10" ht="14.25">
      <c r="B199" s="17" t="s">
        <v>6</v>
      </c>
      <c r="C199" s="17" t="s">
        <v>13</v>
      </c>
      <c r="D199" s="17" t="s">
        <v>86</v>
      </c>
      <c r="E199" s="17" t="s">
        <v>258</v>
      </c>
      <c r="F199" s="17" t="s">
        <v>259</v>
      </c>
      <c r="G199" s="17" t="s">
        <v>260</v>
      </c>
      <c r="H199" s="17" t="s">
        <v>261</v>
      </c>
      <c r="I199" s="146"/>
      <c r="J199" s="146"/>
    </row>
    <row r="200" spans="2:10" ht="14.25">
      <c r="B200" s="147">
        <v>1</v>
      </c>
      <c r="C200" s="147" t="s">
        <v>158</v>
      </c>
      <c r="D200" s="148" t="s">
        <v>94</v>
      </c>
      <c r="E200" s="147"/>
      <c r="F200" s="147">
        <v>10000</v>
      </c>
      <c r="G200" s="147">
        <v>108</v>
      </c>
      <c r="H200" s="149">
        <f>F200*G200</f>
        <v>1080000</v>
      </c>
      <c r="I200" s="150"/>
      <c r="J200" s="150"/>
    </row>
    <row r="201" spans="2:10" ht="14.25">
      <c r="B201" s="147">
        <v>2</v>
      </c>
      <c r="C201" s="147" t="s">
        <v>160</v>
      </c>
      <c r="D201" s="148"/>
      <c r="E201" s="147"/>
      <c r="F201" s="147"/>
      <c r="G201" s="147"/>
      <c r="H201" s="149">
        <f>SUM(H202:H203)</f>
        <v>300000</v>
      </c>
      <c r="I201" s="150"/>
      <c r="J201" s="150"/>
    </row>
    <row r="202" spans="2:10" ht="14.25">
      <c r="B202" s="16"/>
      <c r="C202" s="16" t="s">
        <v>262</v>
      </c>
      <c r="D202" s="17" t="s">
        <v>94</v>
      </c>
      <c r="E202" s="16"/>
      <c r="F202" s="16">
        <v>10000</v>
      </c>
      <c r="G202" s="16">
        <v>30</v>
      </c>
      <c r="H202" s="151">
        <f>G202*F202</f>
        <v>300000</v>
      </c>
      <c r="I202" s="2"/>
      <c r="J202" s="2"/>
    </row>
    <row r="203" spans="2:10" ht="14.25">
      <c r="B203" s="16"/>
      <c r="C203" s="16" t="s">
        <v>263</v>
      </c>
      <c r="D203" s="17" t="s">
        <v>94</v>
      </c>
      <c r="E203" s="16"/>
      <c r="F203" s="16">
        <v>10000</v>
      </c>
      <c r="G203" s="16">
        <v>0</v>
      </c>
      <c r="H203" s="151">
        <f>G203*F203</f>
        <v>0</v>
      </c>
      <c r="I203" s="2"/>
      <c r="J203" s="2"/>
    </row>
    <row r="204" spans="2:10" ht="14.25">
      <c r="B204" s="147">
        <v>3</v>
      </c>
      <c r="C204" s="147" t="s">
        <v>264</v>
      </c>
      <c r="D204" s="148"/>
      <c r="E204" s="147"/>
      <c r="F204" s="147">
        <v>500</v>
      </c>
      <c r="G204" s="147">
        <v>10700</v>
      </c>
      <c r="H204" s="149">
        <f>F204+G204</f>
        <v>11200</v>
      </c>
      <c r="I204" s="150"/>
      <c r="J204" s="150"/>
    </row>
    <row r="205" spans="2:10" ht="14.25">
      <c r="B205" s="147">
        <v>3</v>
      </c>
      <c r="C205" s="147" t="s">
        <v>163</v>
      </c>
      <c r="D205" s="148" t="s">
        <v>94</v>
      </c>
      <c r="E205" s="147"/>
      <c r="F205" s="147">
        <v>10000</v>
      </c>
      <c r="G205" s="152">
        <v>30</v>
      </c>
      <c r="H205" s="149">
        <f>F205+G205</f>
        <v>10030</v>
      </c>
      <c r="I205" s="150"/>
      <c r="J205" s="150"/>
    </row>
    <row r="206" spans="2:10" ht="14.25">
      <c r="B206" s="147">
        <v>4</v>
      </c>
      <c r="C206" s="147" t="s">
        <v>165</v>
      </c>
      <c r="D206" s="148" t="s">
        <v>94</v>
      </c>
      <c r="E206" s="147"/>
      <c r="F206" s="147">
        <v>10000</v>
      </c>
      <c r="G206" s="152">
        <v>40</v>
      </c>
      <c r="H206" s="149">
        <f>F206+G206</f>
        <v>10040</v>
      </c>
      <c r="I206" s="150"/>
      <c r="J206" s="150"/>
    </row>
    <row r="207" spans="2:10" ht="14.25">
      <c r="B207" s="147">
        <v>5</v>
      </c>
      <c r="C207" s="147" t="s">
        <v>166</v>
      </c>
      <c r="D207" s="148" t="s">
        <v>167</v>
      </c>
      <c r="E207" s="147"/>
      <c r="F207" s="147">
        <v>100</v>
      </c>
      <c r="G207" s="152">
        <v>1900</v>
      </c>
      <c r="H207" s="149">
        <f>F207+G207</f>
        <v>2000</v>
      </c>
      <c r="I207" s="150"/>
      <c r="J207" s="150"/>
    </row>
    <row r="208" spans="2:10" ht="14.25">
      <c r="B208" s="147">
        <v>6</v>
      </c>
      <c r="C208" s="147" t="s">
        <v>93</v>
      </c>
      <c r="D208" s="148"/>
      <c r="E208" s="147"/>
      <c r="F208" s="147"/>
      <c r="G208" s="147"/>
      <c r="H208" s="149">
        <f>(H200+H201+H204+H205+H206+H207)*0.1</f>
        <v>141327</v>
      </c>
      <c r="I208" s="150"/>
      <c r="J208" s="150"/>
    </row>
    <row r="209" spans="2:10" ht="15">
      <c r="B209" s="153"/>
      <c r="C209" s="153" t="s">
        <v>265</v>
      </c>
      <c r="D209" s="153"/>
      <c r="E209" s="153"/>
      <c r="F209" s="153"/>
      <c r="G209" s="153"/>
      <c r="H209" s="154">
        <f>H200+H201+H204+H205+H206+H207+H208</f>
        <v>1554597</v>
      </c>
      <c r="I209" s="155">
        <f>H209/10000</f>
        <v>155.4597</v>
      </c>
      <c r="J209" s="155"/>
    </row>
    <row r="210" spans="2:10" ht="14.2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4.25">
      <c r="B211" s="145"/>
      <c r="C211" s="145" t="s">
        <v>266</v>
      </c>
      <c r="D211" s="145"/>
      <c r="E211" s="145"/>
      <c r="F211" s="145"/>
      <c r="G211" s="145"/>
      <c r="H211" s="145"/>
      <c r="I211" s="145"/>
      <c r="J211" s="145"/>
    </row>
    <row r="212" spans="2:10" ht="14.2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4.25">
      <c r="B213" s="17" t="s">
        <v>6</v>
      </c>
      <c r="C213" s="17" t="s">
        <v>13</v>
      </c>
      <c r="D213" s="17" t="s">
        <v>86</v>
      </c>
      <c r="E213" s="17" t="s">
        <v>258</v>
      </c>
      <c r="F213" s="17" t="s">
        <v>259</v>
      </c>
      <c r="G213" s="17" t="s">
        <v>260</v>
      </c>
      <c r="H213" s="17" t="s">
        <v>261</v>
      </c>
      <c r="I213" s="146"/>
      <c r="J213" s="146"/>
    </row>
    <row r="214" spans="2:10" ht="15">
      <c r="B214" s="156" t="s">
        <v>11</v>
      </c>
      <c r="C214" s="156" t="s">
        <v>267</v>
      </c>
      <c r="D214" s="157" t="s">
        <v>10</v>
      </c>
      <c r="E214" s="157"/>
      <c r="F214" s="158"/>
      <c r="G214" s="158"/>
      <c r="H214" s="159">
        <f>SUM(H215:H217)</f>
        <v>46200</v>
      </c>
      <c r="I214" s="160"/>
      <c r="J214" s="160"/>
    </row>
    <row r="215" spans="2:10" ht="14.25">
      <c r="B215" s="16"/>
      <c r="C215" s="16" t="s">
        <v>91</v>
      </c>
      <c r="D215" s="41" t="s">
        <v>10</v>
      </c>
      <c r="E215" s="41"/>
      <c r="F215" s="41">
        <v>1000</v>
      </c>
      <c r="G215" s="42">
        <v>7</v>
      </c>
      <c r="H215" s="44">
        <f>F215*G215</f>
        <v>7000</v>
      </c>
      <c r="I215" s="2"/>
      <c r="J215" s="2"/>
    </row>
    <row r="216" spans="2:10" ht="14.25">
      <c r="B216" s="16"/>
      <c r="C216" s="16" t="s">
        <v>92</v>
      </c>
      <c r="D216" s="41" t="s">
        <v>10</v>
      </c>
      <c r="E216" s="41"/>
      <c r="F216" s="41">
        <v>1000</v>
      </c>
      <c r="G216" s="42">
        <v>35</v>
      </c>
      <c r="H216" s="44">
        <f>F216*G216</f>
        <v>35000</v>
      </c>
      <c r="I216" s="2"/>
      <c r="J216" s="2"/>
    </row>
    <row r="217" spans="2:10" ht="14.25">
      <c r="B217" s="16"/>
      <c r="C217" s="16" t="s">
        <v>93</v>
      </c>
      <c r="D217" s="41"/>
      <c r="E217" s="41"/>
      <c r="F217" s="41"/>
      <c r="G217" s="41"/>
      <c r="H217" s="44">
        <f>(H215+H216)*0.1</f>
        <v>4200</v>
      </c>
      <c r="I217" s="2"/>
      <c r="J217" s="2"/>
    </row>
    <row r="218" spans="2:10" ht="15">
      <c r="B218" s="82" t="s">
        <v>12</v>
      </c>
      <c r="C218" s="82" t="s">
        <v>15</v>
      </c>
      <c r="D218" s="82"/>
      <c r="E218" s="82"/>
      <c r="F218" s="82"/>
      <c r="G218" s="82"/>
      <c r="H218" s="82">
        <f>H219+H225+H231+H237+H243+H249+H255</f>
        <v>35749450</v>
      </c>
      <c r="I218" s="161"/>
      <c r="J218" s="161"/>
    </row>
    <row r="219" spans="2:10" ht="14.25">
      <c r="B219" s="162">
        <v>1</v>
      </c>
      <c r="C219" s="162" t="s">
        <v>268</v>
      </c>
      <c r="D219" s="162"/>
      <c r="E219" s="162"/>
      <c r="F219" s="162">
        <v>1</v>
      </c>
      <c r="G219" s="162"/>
      <c r="H219" s="162">
        <f>SUM(H220:H224)</f>
        <v>9774050</v>
      </c>
      <c r="I219" s="163"/>
      <c r="J219" s="163"/>
    </row>
    <row r="220" spans="2:10" ht="14.25">
      <c r="B220" s="16"/>
      <c r="C220" s="16" t="s">
        <v>52</v>
      </c>
      <c r="D220" s="41" t="s">
        <v>94</v>
      </c>
      <c r="E220" s="16">
        <f>22.5*1000</f>
        <v>22500</v>
      </c>
      <c r="F220" s="16">
        <f>E220*F219</f>
        <v>22500</v>
      </c>
      <c r="G220" s="16">
        <v>300</v>
      </c>
      <c r="H220" s="16">
        <f>F220*G220</f>
        <v>6750000</v>
      </c>
      <c r="I220" s="2"/>
      <c r="J220" s="2"/>
    </row>
    <row r="221" spans="2:10" ht="14.25">
      <c r="B221" s="16"/>
      <c r="C221" s="16" t="s">
        <v>95</v>
      </c>
      <c r="D221" s="13" t="s">
        <v>94</v>
      </c>
      <c r="E221" s="16">
        <f>14.5*1000</f>
        <v>14500</v>
      </c>
      <c r="F221" s="16">
        <f>E221*F219</f>
        <v>14500</v>
      </c>
      <c r="G221" s="16">
        <v>133</v>
      </c>
      <c r="H221" s="16">
        <f>F221*G221</f>
        <v>1928500</v>
      </c>
      <c r="I221" s="2"/>
      <c r="J221" s="2"/>
    </row>
    <row r="222" spans="2:10" ht="14.25">
      <c r="B222" s="16"/>
      <c r="C222" s="16" t="s">
        <v>96</v>
      </c>
      <c r="D222" s="13" t="s">
        <v>8</v>
      </c>
      <c r="E222" s="16">
        <v>4000</v>
      </c>
      <c r="F222" s="16">
        <f>E222*F219</f>
        <v>4000</v>
      </c>
      <c r="G222" s="16">
        <v>33</v>
      </c>
      <c r="H222" s="16">
        <f>F222*G222</f>
        <v>132000</v>
      </c>
      <c r="I222" s="2"/>
      <c r="J222" s="2"/>
    </row>
    <row r="223" spans="2:10" ht="14.25">
      <c r="B223" s="16"/>
      <c r="C223" s="16" t="s">
        <v>99</v>
      </c>
      <c r="D223" s="13" t="s">
        <v>100</v>
      </c>
      <c r="E223" s="16">
        <f>1000/8*3</f>
        <v>375</v>
      </c>
      <c r="F223" s="14">
        <f>E223*F219</f>
        <v>375</v>
      </c>
      <c r="G223" s="16">
        <v>200</v>
      </c>
      <c r="H223" s="16">
        <f>F223*G223</f>
        <v>75000</v>
      </c>
      <c r="I223" s="2"/>
      <c r="J223" s="2"/>
    </row>
    <row r="224" spans="2:10" ht="14.25">
      <c r="B224" s="16"/>
      <c r="C224" s="16" t="s">
        <v>269</v>
      </c>
      <c r="D224" s="16"/>
      <c r="E224" s="16"/>
      <c r="F224" s="16"/>
      <c r="G224" s="16"/>
      <c r="H224" s="16">
        <f>(H220+H221+H222+H223)*0.1</f>
        <v>888550</v>
      </c>
      <c r="I224" s="2"/>
      <c r="J224" s="2"/>
    </row>
    <row r="225" spans="2:10" ht="14.25">
      <c r="B225" s="162">
        <v>2</v>
      </c>
      <c r="C225" s="162" t="s">
        <v>270</v>
      </c>
      <c r="D225" s="162"/>
      <c r="E225" s="162"/>
      <c r="F225" s="162">
        <v>1</v>
      </c>
      <c r="G225" s="162"/>
      <c r="H225" s="162">
        <f>SUM(H226:H230)</f>
        <v>7272100</v>
      </c>
      <c r="I225" s="163">
        <f>H225</f>
        <v>7272100</v>
      </c>
      <c r="J225" s="163"/>
    </row>
    <row r="226" spans="2:10" ht="14.25">
      <c r="B226" s="16"/>
      <c r="C226" s="16" t="s">
        <v>52</v>
      </c>
      <c r="D226" s="41" t="s">
        <v>94</v>
      </c>
      <c r="E226" s="16">
        <f>15*1000</f>
        <v>15000</v>
      </c>
      <c r="F226" s="16">
        <f>E226*F225</f>
        <v>15000</v>
      </c>
      <c r="G226" s="16">
        <v>300</v>
      </c>
      <c r="H226" s="16">
        <f>F226*G226</f>
        <v>4500000</v>
      </c>
      <c r="I226" s="2"/>
      <c r="J226" s="2"/>
    </row>
    <row r="227" spans="2:10" ht="14.25">
      <c r="B227" s="16"/>
      <c r="C227" s="16" t="s">
        <v>95</v>
      </c>
      <c r="D227" s="13" t="s">
        <v>94</v>
      </c>
      <c r="E227" s="16">
        <f>15*1000</f>
        <v>15000</v>
      </c>
      <c r="F227" s="16">
        <f>E227*F225</f>
        <v>15000</v>
      </c>
      <c r="G227" s="16">
        <v>133</v>
      </c>
      <c r="H227" s="16">
        <f>F227*G227</f>
        <v>1995000</v>
      </c>
      <c r="I227" s="2"/>
      <c r="J227" s="2"/>
    </row>
    <row r="228" spans="2:10" ht="14.25">
      <c r="B228" s="16"/>
      <c r="C228" s="16" t="s">
        <v>96</v>
      </c>
      <c r="D228" s="13" t="s">
        <v>8</v>
      </c>
      <c r="E228" s="16">
        <v>2000</v>
      </c>
      <c r="F228" s="16">
        <f>E228*F225</f>
        <v>2000</v>
      </c>
      <c r="G228" s="16">
        <v>33</v>
      </c>
      <c r="H228" s="16">
        <f>F228*G228</f>
        <v>66000</v>
      </c>
      <c r="I228" s="2"/>
      <c r="J228" s="2"/>
    </row>
    <row r="229" spans="2:10" ht="14.25">
      <c r="B229" s="16"/>
      <c r="C229" s="16" t="s">
        <v>99</v>
      </c>
      <c r="D229" s="13" t="s">
        <v>100</v>
      </c>
      <c r="E229" s="16">
        <f>1000/8*2</f>
        <v>250</v>
      </c>
      <c r="F229" s="14">
        <f>E229*F225</f>
        <v>250</v>
      </c>
      <c r="G229" s="16">
        <v>200</v>
      </c>
      <c r="H229" s="16">
        <f>F229*G229</f>
        <v>50000</v>
      </c>
      <c r="I229" s="2"/>
      <c r="J229" s="2"/>
    </row>
    <row r="230" spans="2:10" ht="14.25">
      <c r="B230" s="16"/>
      <c r="C230" s="16" t="s">
        <v>269</v>
      </c>
      <c r="D230" s="16"/>
      <c r="E230" s="16"/>
      <c r="F230" s="16"/>
      <c r="G230" s="16"/>
      <c r="H230" s="16">
        <f>(H226+H227+H228+H229)*0.1</f>
        <v>661100</v>
      </c>
      <c r="I230" s="2"/>
      <c r="J230" s="2"/>
    </row>
    <row r="231" spans="2:10" ht="14.25">
      <c r="B231" s="162">
        <v>3</v>
      </c>
      <c r="C231" s="162" t="s">
        <v>255</v>
      </c>
      <c r="D231" s="162"/>
      <c r="E231" s="162"/>
      <c r="F231" s="162">
        <v>1</v>
      </c>
      <c r="G231" s="162"/>
      <c r="H231" s="162">
        <f>SUM(H232:H236)</f>
        <v>6540600</v>
      </c>
      <c r="I231" s="163"/>
      <c r="J231" s="163"/>
    </row>
    <row r="232" spans="2:10" ht="14.25">
      <c r="B232" s="16"/>
      <c r="C232" s="16" t="s">
        <v>52</v>
      </c>
      <c r="D232" s="41" t="s">
        <v>94</v>
      </c>
      <c r="E232" s="16">
        <f>15*1000</f>
        <v>15000</v>
      </c>
      <c r="F232" s="16">
        <f>E232*F231</f>
        <v>15000</v>
      </c>
      <c r="G232" s="16">
        <v>300</v>
      </c>
      <c r="H232" s="16">
        <f>F232*G232</f>
        <v>4500000</v>
      </c>
      <c r="I232" s="2"/>
      <c r="J232" s="2"/>
    </row>
    <row r="233" spans="2:10" ht="14.25">
      <c r="B233" s="16"/>
      <c r="C233" s="16" t="s">
        <v>95</v>
      </c>
      <c r="D233" s="13" t="s">
        <v>94</v>
      </c>
      <c r="E233" s="16">
        <f>10*1000</f>
        <v>10000</v>
      </c>
      <c r="F233" s="16">
        <f>E233*F231</f>
        <v>10000</v>
      </c>
      <c r="G233" s="16">
        <v>133</v>
      </c>
      <c r="H233" s="16">
        <f>F233*G233</f>
        <v>1330000</v>
      </c>
      <c r="I233" s="2"/>
      <c r="J233" s="2"/>
    </row>
    <row r="234" spans="2:10" ht="14.25">
      <c r="B234" s="16"/>
      <c r="C234" s="16" t="s">
        <v>96</v>
      </c>
      <c r="D234" s="13" t="s">
        <v>8</v>
      </c>
      <c r="E234" s="16">
        <v>2000</v>
      </c>
      <c r="F234" s="16">
        <f>E234*F231</f>
        <v>2000</v>
      </c>
      <c r="G234" s="16">
        <v>33</v>
      </c>
      <c r="H234" s="16">
        <f>F234*G234</f>
        <v>66000</v>
      </c>
      <c r="I234" s="2"/>
      <c r="J234" s="2"/>
    </row>
    <row r="235" spans="2:10" ht="14.25">
      <c r="B235" s="16"/>
      <c r="C235" s="16" t="s">
        <v>99</v>
      </c>
      <c r="D235" s="13" t="s">
        <v>100</v>
      </c>
      <c r="E235" s="16">
        <f>1000/8*2</f>
        <v>250</v>
      </c>
      <c r="F235" s="14">
        <f>E235*F231</f>
        <v>250</v>
      </c>
      <c r="G235" s="16">
        <v>200</v>
      </c>
      <c r="H235" s="16">
        <f>F235*G235</f>
        <v>50000</v>
      </c>
      <c r="I235" s="2"/>
      <c r="J235" s="2"/>
    </row>
    <row r="236" spans="2:10" ht="14.25">
      <c r="B236" s="16"/>
      <c r="C236" s="16" t="s">
        <v>269</v>
      </c>
      <c r="D236" s="16"/>
      <c r="E236" s="16"/>
      <c r="F236" s="16"/>
      <c r="G236" s="16"/>
      <c r="H236" s="16">
        <f>(H232+H233+H234+H235)*0.1</f>
        <v>594600</v>
      </c>
      <c r="I236" s="2"/>
      <c r="J236" s="2"/>
    </row>
    <row r="237" spans="2:10" ht="14.25">
      <c r="B237" s="162">
        <v>4</v>
      </c>
      <c r="C237" s="162" t="s">
        <v>271</v>
      </c>
      <c r="D237" s="162"/>
      <c r="E237" s="162"/>
      <c r="F237" s="162">
        <v>1</v>
      </c>
      <c r="G237" s="162"/>
      <c r="H237" s="162">
        <f>SUM(H238:H242)</f>
        <v>4065600</v>
      </c>
      <c r="I237" s="163"/>
      <c r="J237" s="163"/>
    </row>
    <row r="238" spans="2:10" ht="14.25">
      <c r="B238" s="16"/>
      <c r="C238" s="16" t="s">
        <v>52</v>
      </c>
      <c r="D238" s="41" t="s">
        <v>94</v>
      </c>
      <c r="E238" s="16">
        <f>7.5*1000</f>
        <v>7500</v>
      </c>
      <c r="F238" s="16">
        <f>E238*F237</f>
        <v>7500</v>
      </c>
      <c r="G238" s="16">
        <v>300</v>
      </c>
      <c r="H238" s="16">
        <f>F238*G238</f>
        <v>2250000</v>
      </c>
      <c r="I238" s="2"/>
      <c r="J238" s="2"/>
    </row>
    <row r="239" spans="2:10" ht="14.25">
      <c r="B239" s="16"/>
      <c r="C239" s="16" t="s">
        <v>95</v>
      </c>
      <c r="D239" s="13" t="s">
        <v>94</v>
      </c>
      <c r="E239" s="16">
        <f>10*1000</f>
        <v>10000</v>
      </c>
      <c r="F239" s="16">
        <f>E239*F237</f>
        <v>10000</v>
      </c>
      <c r="G239" s="16">
        <v>133</v>
      </c>
      <c r="H239" s="16">
        <f>F239*G239</f>
        <v>1330000</v>
      </c>
      <c r="I239" s="2"/>
      <c r="J239" s="2"/>
    </row>
    <row r="240" spans="2:10" ht="14.25">
      <c r="B240" s="16"/>
      <c r="C240" s="16" t="s">
        <v>96</v>
      </c>
      <c r="D240" s="13" t="s">
        <v>8</v>
      </c>
      <c r="E240" s="16">
        <v>2000</v>
      </c>
      <c r="F240" s="16">
        <f>E240*F237</f>
        <v>2000</v>
      </c>
      <c r="G240" s="16">
        <v>33</v>
      </c>
      <c r="H240" s="16">
        <f>F240*G240</f>
        <v>66000</v>
      </c>
      <c r="I240" s="2"/>
      <c r="J240" s="2"/>
    </row>
    <row r="241" spans="2:10" ht="14.25">
      <c r="B241" s="16"/>
      <c r="C241" s="16" t="s">
        <v>99</v>
      </c>
      <c r="D241" s="13" t="s">
        <v>100</v>
      </c>
      <c r="E241" s="16">
        <f>1000/8*2</f>
        <v>250</v>
      </c>
      <c r="F241" s="14">
        <f>E241*F237</f>
        <v>250</v>
      </c>
      <c r="G241" s="16">
        <v>200</v>
      </c>
      <c r="H241" s="16">
        <f>F241*G241</f>
        <v>50000</v>
      </c>
      <c r="I241" s="2"/>
      <c r="J241" s="2"/>
    </row>
    <row r="242" spans="2:10" ht="14.25">
      <c r="B242" s="16"/>
      <c r="C242" s="16" t="s">
        <v>269</v>
      </c>
      <c r="D242" s="16"/>
      <c r="E242" s="16"/>
      <c r="F242" s="16"/>
      <c r="G242" s="16"/>
      <c r="H242" s="16">
        <f>(H238+H239+H240+H241)*0.1</f>
        <v>369600</v>
      </c>
      <c r="I242" s="2"/>
      <c r="J242" s="2"/>
    </row>
    <row r="243" spans="2:10" ht="14.25">
      <c r="B243" s="162">
        <v>5</v>
      </c>
      <c r="C243" s="162" t="s">
        <v>272</v>
      </c>
      <c r="D243" s="162"/>
      <c r="E243" s="162"/>
      <c r="F243" s="162">
        <v>1</v>
      </c>
      <c r="G243" s="162"/>
      <c r="H243" s="162">
        <f>SUM(H244:H248)</f>
        <v>3480400</v>
      </c>
      <c r="I243" s="163"/>
      <c r="J243" s="163"/>
    </row>
    <row r="244" spans="2:10" ht="14.25">
      <c r="B244" s="16"/>
      <c r="C244" s="16" t="s">
        <v>52</v>
      </c>
      <c r="D244" s="41" t="s">
        <v>94</v>
      </c>
      <c r="E244" s="16">
        <f>7.5*1000</f>
        <v>7500</v>
      </c>
      <c r="F244" s="16">
        <f>E244*F243</f>
        <v>7500</v>
      </c>
      <c r="G244" s="16">
        <v>300</v>
      </c>
      <c r="H244" s="16">
        <f>F244*G244</f>
        <v>2250000</v>
      </c>
      <c r="I244" s="2"/>
      <c r="J244" s="2"/>
    </row>
    <row r="245" spans="2:10" ht="14.25">
      <c r="B245" s="16"/>
      <c r="C245" s="16" t="s">
        <v>95</v>
      </c>
      <c r="D245" s="13" t="s">
        <v>94</v>
      </c>
      <c r="E245" s="16">
        <f>6*1000</f>
        <v>6000</v>
      </c>
      <c r="F245" s="16">
        <f>E245*F243</f>
        <v>6000</v>
      </c>
      <c r="G245" s="16">
        <v>133</v>
      </c>
      <c r="H245" s="16">
        <f>F245*G245</f>
        <v>798000</v>
      </c>
      <c r="I245" s="2"/>
      <c r="J245" s="2"/>
    </row>
    <row r="246" spans="2:10" ht="14.25">
      <c r="B246" s="16"/>
      <c r="C246" s="16" t="s">
        <v>96</v>
      </c>
      <c r="D246" s="13" t="s">
        <v>8</v>
      </c>
      <c r="E246" s="16">
        <v>2000</v>
      </c>
      <c r="F246" s="16">
        <f>E246*F243</f>
        <v>2000</v>
      </c>
      <c r="G246" s="16">
        <v>33</v>
      </c>
      <c r="H246" s="16">
        <f>F246*G246</f>
        <v>66000</v>
      </c>
      <c r="I246" s="2"/>
      <c r="J246" s="2"/>
    </row>
    <row r="247" spans="2:10" ht="14.25">
      <c r="B247" s="16"/>
      <c r="C247" s="16" t="s">
        <v>99</v>
      </c>
      <c r="D247" s="13" t="s">
        <v>100</v>
      </c>
      <c r="E247" s="16">
        <f>1000/8*2</f>
        <v>250</v>
      </c>
      <c r="F247" s="14">
        <f>E247*F243</f>
        <v>250</v>
      </c>
      <c r="G247" s="16">
        <v>200</v>
      </c>
      <c r="H247" s="16">
        <f>F247*G247</f>
        <v>50000</v>
      </c>
      <c r="I247" s="2"/>
      <c r="J247" s="2"/>
    </row>
    <row r="248" spans="2:10" ht="14.25">
      <c r="B248" s="16"/>
      <c r="C248" s="16" t="s">
        <v>269</v>
      </c>
      <c r="D248" s="16"/>
      <c r="E248" s="16"/>
      <c r="F248" s="16"/>
      <c r="G248" s="16"/>
      <c r="H248" s="16">
        <f>(H244+H245+H246+H247)*0.1</f>
        <v>316400</v>
      </c>
      <c r="I248" s="2"/>
      <c r="J248" s="2"/>
    </row>
    <row r="249" spans="2:10" ht="14.25">
      <c r="B249" s="162">
        <v>6</v>
      </c>
      <c r="C249" s="162" t="s">
        <v>273</v>
      </c>
      <c r="D249" s="162"/>
      <c r="E249" s="162"/>
      <c r="F249" s="162">
        <v>1</v>
      </c>
      <c r="G249" s="162"/>
      <c r="H249" s="162">
        <f>SUM(H250:H254)</f>
        <v>2674100</v>
      </c>
      <c r="I249" s="163"/>
      <c r="J249" s="163"/>
    </row>
    <row r="250" spans="2:10" ht="14.25">
      <c r="B250" s="16"/>
      <c r="C250" s="16" t="s">
        <v>52</v>
      </c>
      <c r="D250" s="41" t="s">
        <v>94</v>
      </c>
      <c r="E250" s="16">
        <f>5.5*1000</f>
        <v>5500</v>
      </c>
      <c r="F250" s="16">
        <f>E250*F249</f>
        <v>5500</v>
      </c>
      <c r="G250" s="16">
        <v>300</v>
      </c>
      <c r="H250" s="16">
        <f>F250*G250</f>
        <v>1650000</v>
      </c>
      <c r="I250" s="2"/>
      <c r="J250" s="2"/>
    </row>
    <row r="251" spans="2:10" ht="14.25">
      <c r="B251" s="16"/>
      <c r="C251" s="16" t="s">
        <v>95</v>
      </c>
      <c r="D251" s="13" t="s">
        <v>94</v>
      </c>
      <c r="E251" s="16">
        <f>5*1000</f>
        <v>5000</v>
      </c>
      <c r="F251" s="16">
        <f>E251*F249</f>
        <v>5000</v>
      </c>
      <c r="G251" s="16">
        <v>133</v>
      </c>
      <c r="H251" s="16">
        <f>F251*G251</f>
        <v>665000</v>
      </c>
      <c r="I251" s="2"/>
      <c r="J251" s="2"/>
    </row>
    <row r="252" spans="2:10" ht="14.25">
      <c r="B252" s="16"/>
      <c r="C252" s="16" t="s">
        <v>96</v>
      </c>
      <c r="D252" s="13" t="s">
        <v>8</v>
      </c>
      <c r="E252" s="16">
        <v>2000</v>
      </c>
      <c r="F252" s="16">
        <f>E252*F249</f>
        <v>2000</v>
      </c>
      <c r="G252" s="16">
        <v>33</v>
      </c>
      <c r="H252" s="16">
        <f>F252*G252</f>
        <v>66000</v>
      </c>
      <c r="I252" s="2"/>
      <c r="J252" s="2"/>
    </row>
    <row r="253" spans="2:10" ht="14.25">
      <c r="B253" s="16"/>
      <c r="C253" s="16" t="s">
        <v>99</v>
      </c>
      <c r="D253" s="13" t="s">
        <v>100</v>
      </c>
      <c r="E253" s="16">
        <f>1000/8*2</f>
        <v>250</v>
      </c>
      <c r="F253" s="14">
        <f>E253*F249</f>
        <v>250</v>
      </c>
      <c r="G253" s="16">
        <v>200</v>
      </c>
      <c r="H253" s="16">
        <f>F253*G253</f>
        <v>50000</v>
      </c>
      <c r="I253" s="2"/>
      <c r="J253" s="2"/>
    </row>
    <row r="254" spans="2:10" ht="14.25">
      <c r="B254" s="16"/>
      <c r="C254" s="16" t="s">
        <v>269</v>
      </c>
      <c r="D254" s="16"/>
      <c r="E254" s="16"/>
      <c r="F254" s="16"/>
      <c r="G254" s="16"/>
      <c r="H254" s="16">
        <f>(H250+H251+H252+H253)*0.1</f>
        <v>243100</v>
      </c>
      <c r="I254" s="2"/>
      <c r="J254" s="2"/>
    </row>
    <row r="255" spans="2:10" ht="14.25">
      <c r="B255" s="162">
        <v>7</v>
      </c>
      <c r="C255" s="162" t="s">
        <v>274</v>
      </c>
      <c r="D255" s="162"/>
      <c r="E255" s="162"/>
      <c r="F255" s="162">
        <v>1</v>
      </c>
      <c r="G255" s="162"/>
      <c r="H255" s="162">
        <f>SUM(H256:H259)</f>
        <v>1942600</v>
      </c>
      <c r="I255" s="163"/>
      <c r="J255" s="163"/>
    </row>
    <row r="256" spans="2:10" ht="14.25">
      <c r="B256" s="16"/>
      <c r="C256" s="16" t="s">
        <v>52</v>
      </c>
      <c r="D256" s="41" t="s">
        <v>94</v>
      </c>
      <c r="E256" s="16">
        <f>5.5*1000</f>
        <v>5500</v>
      </c>
      <c r="F256" s="16">
        <f>E256*F255</f>
        <v>5500</v>
      </c>
      <c r="G256" s="16">
        <v>300</v>
      </c>
      <c r="H256" s="16">
        <f>F256*G256</f>
        <v>1650000</v>
      </c>
      <c r="I256" s="2"/>
      <c r="J256" s="2"/>
    </row>
    <row r="257" spans="2:10" ht="14.25">
      <c r="B257" s="16"/>
      <c r="C257" s="16" t="s">
        <v>96</v>
      </c>
      <c r="D257" s="13" t="s">
        <v>8</v>
      </c>
      <c r="E257" s="16">
        <v>2000</v>
      </c>
      <c r="F257" s="16">
        <f>E257*F255</f>
        <v>2000</v>
      </c>
      <c r="G257" s="16">
        <v>33</v>
      </c>
      <c r="H257" s="16">
        <f>F257*G257</f>
        <v>66000</v>
      </c>
      <c r="I257" s="2"/>
      <c r="J257" s="2"/>
    </row>
    <row r="258" spans="2:10" ht="14.25">
      <c r="B258" s="16"/>
      <c r="C258" s="16" t="s">
        <v>99</v>
      </c>
      <c r="D258" s="13" t="s">
        <v>100</v>
      </c>
      <c r="E258" s="16">
        <f>1000/8*2</f>
        <v>250</v>
      </c>
      <c r="F258" s="16">
        <f>E258*F255</f>
        <v>250</v>
      </c>
      <c r="G258" s="16">
        <v>200</v>
      </c>
      <c r="H258" s="16">
        <f>F258*G258</f>
        <v>50000</v>
      </c>
      <c r="I258" s="2"/>
      <c r="J258" s="2"/>
    </row>
    <row r="259" spans="2:10" ht="14.25">
      <c r="B259" s="16"/>
      <c r="C259" s="16" t="s">
        <v>269</v>
      </c>
      <c r="D259" s="16"/>
      <c r="E259" s="16"/>
      <c r="F259" s="14">
        <f>E259*F255</f>
        <v>0</v>
      </c>
      <c r="G259" s="16"/>
      <c r="H259" s="16">
        <f>(H256+H257+H258)*0.1</f>
        <v>176600</v>
      </c>
      <c r="I259" s="2"/>
      <c r="J259" s="2"/>
    </row>
    <row r="260" spans="2:10" ht="15">
      <c r="B260" s="82" t="s">
        <v>20</v>
      </c>
      <c r="C260" s="82" t="s">
        <v>101</v>
      </c>
      <c r="D260" s="82"/>
      <c r="E260" s="82"/>
      <c r="F260" s="82"/>
      <c r="G260" s="82"/>
      <c r="H260" s="82">
        <f>H261+H270+H273+H281+H282+H285</f>
        <v>2438106</v>
      </c>
      <c r="I260" s="161"/>
      <c r="J260" s="161"/>
    </row>
    <row r="261" spans="2:10" ht="14.25">
      <c r="B261" s="162">
        <v>1</v>
      </c>
      <c r="C261" s="162" t="s">
        <v>68</v>
      </c>
      <c r="D261" s="162" t="s">
        <v>8</v>
      </c>
      <c r="E261" s="162"/>
      <c r="F261" s="162"/>
      <c r="G261" s="162"/>
      <c r="H261" s="162">
        <f>SUM(H262:H269)</f>
        <v>1484700</v>
      </c>
      <c r="I261" s="163"/>
      <c r="J261" s="163"/>
    </row>
    <row r="262" spans="2:10" ht="14.25">
      <c r="B262" s="21"/>
      <c r="C262" s="21" t="s">
        <v>66</v>
      </c>
      <c r="D262" s="21"/>
      <c r="E262" s="21"/>
      <c r="F262" s="21">
        <v>100</v>
      </c>
      <c r="G262" s="21">
        <v>0</v>
      </c>
      <c r="H262" s="16">
        <f>F262*G262</f>
        <v>0</v>
      </c>
      <c r="I262" s="164"/>
      <c r="J262" s="164"/>
    </row>
    <row r="263" spans="2:10" ht="14.25">
      <c r="B263" s="16"/>
      <c r="C263" s="16" t="s">
        <v>69</v>
      </c>
      <c r="D263" s="16"/>
      <c r="E263" s="16"/>
      <c r="F263" s="16">
        <v>100</v>
      </c>
      <c r="G263" s="16">
        <v>770</v>
      </c>
      <c r="H263" s="16">
        <f>F263*G263</f>
        <v>77000</v>
      </c>
      <c r="I263" s="2"/>
      <c r="J263" s="2"/>
    </row>
    <row r="264" spans="2:10" ht="14.25">
      <c r="B264" s="16"/>
      <c r="C264" s="16" t="s">
        <v>70</v>
      </c>
      <c r="D264" s="16"/>
      <c r="E264" s="16"/>
      <c r="F264" s="16">
        <v>100</v>
      </c>
      <c r="G264" s="16">
        <v>890</v>
      </c>
      <c r="H264" s="16">
        <f aca="true" t="shared" si="9" ref="H264:H269">F264*G264</f>
        <v>89000</v>
      </c>
      <c r="I264" s="2"/>
      <c r="J264" s="2"/>
    </row>
    <row r="265" spans="2:10" ht="14.25">
      <c r="B265" s="16"/>
      <c r="C265" s="16" t="s">
        <v>71</v>
      </c>
      <c r="D265" s="16"/>
      <c r="E265" s="16"/>
      <c r="F265" s="16">
        <v>100</v>
      </c>
      <c r="G265" s="16">
        <v>1461</v>
      </c>
      <c r="H265" s="16">
        <f t="shared" si="9"/>
        <v>146100</v>
      </c>
      <c r="I265" s="2"/>
      <c r="J265" s="2"/>
    </row>
    <row r="266" spans="2:10" ht="14.25">
      <c r="B266" s="16"/>
      <c r="C266" s="16" t="s">
        <v>72</v>
      </c>
      <c r="D266" s="16"/>
      <c r="E266" s="16"/>
      <c r="F266" s="16">
        <v>100</v>
      </c>
      <c r="G266" s="16">
        <v>2343</v>
      </c>
      <c r="H266" s="16">
        <f t="shared" si="9"/>
        <v>234300</v>
      </c>
      <c r="I266" s="2"/>
      <c r="J266" s="2"/>
    </row>
    <row r="267" spans="2:10" ht="14.25">
      <c r="B267" s="16"/>
      <c r="C267" s="16" t="s">
        <v>73</v>
      </c>
      <c r="D267" s="16"/>
      <c r="E267" s="16"/>
      <c r="F267" s="16">
        <v>100</v>
      </c>
      <c r="G267" s="16">
        <v>2525</v>
      </c>
      <c r="H267" s="16">
        <f t="shared" si="9"/>
        <v>252500</v>
      </c>
      <c r="I267" s="2"/>
      <c r="J267" s="2"/>
    </row>
    <row r="268" spans="2:10" ht="14.25">
      <c r="B268" s="16"/>
      <c r="C268" s="16" t="s">
        <v>275</v>
      </c>
      <c r="D268" s="16"/>
      <c r="E268" s="16"/>
      <c r="F268" s="16">
        <v>100</v>
      </c>
      <c r="G268" s="16">
        <v>3358</v>
      </c>
      <c r="H268" s="16">
        <f t="shared" si="9"/>
        <v>335800</v>
      </c>
      <c r="I268" s="2"/>
      <c r="J268" s="2"/>
    </row>
    <row r="269" spans="2:10" ht="14.25">
      <c r="B269" s="16"/>
      <c r="C269" s="16" t="s">
        <v>276</v>
      </c>
      <c r="D269" s="16"/>
      <c r="E269" s="16"/>
      <c r="F269" s="16">
        <v>100</v>
      </c>
      <c r="G269" s="16">
        <v>3500</v>
      </c>
      <c r="H269" s="16">
        <f t="shared" si="9"/>
        <v>350000</v>
      </c>
      <c r="I269" s="2"/>
      <c r="J269" s="2"/>
    </row>
    <row r="270" spans="2:10" ht="14.25">
      <c r="B270" s="162">
        <v>2</v>
      </c>
      <c r="C270" s="162" t="s">
        <v>110</v>
      </c>
      <c r="D270" s="162"/>
      <c r="E270" s="162"/>
      <c r="F270" s="162"/>
      <c r="G270" s="162"/>
      <c r="H270" s="162">
        <f>SUM(H271:H272)</f>
        <v>275000</v>
      </c>
      <c r="I270" s="163"/>
      <c r="J270" s="163"/>
    </row>
    <row r="271" spans="2:10" ht="14.25">
      <c r="B271" s="16"/>
      <c r="C271" s="16" t="s">
        <v>111</v>
      </c>
      <c r="D271" s="16" t="s">
        <v>8</v>
      </c>
      <c r="E271" s="16"/>
      <c r="F271" s="16">
        <v>100</v>
      </c>
      <c r="G271" s="16">
        <v>1950</v>
      </c>
      <c r="H271" s="16">
        <f>F271*G271</f>
        <v>195000</v>
      </c>
      <c r="I271" s="2"/>
      <c r="J271" s="2"/>
    </row>
    <row r="272" spans="2:10" ht="14.25">
      <c r="B272" s="16"/>
      <c r="C272" s="16" t="s">
        <v>112</v>
      </c>
      <c r="D272" s="16" t="s">
        <v>8</v>
      </c>
      <c r="E272" s="16"/>
      <c r="F272" s="16">
        <v>100</v>
      </c>
      <c r="G272" s="16">
        <v>800</v>
      </c>
      <c r="H272" s="16">
        <f>F272*G272</f>
        <v>80000</v>
      </c>
      <c r="I272" s="2"/>
      <c r="J272" s="2"/>
    </row>
    <row r="273" spans="2:10" ht="14.25">
      <c r="B273" s="162">
        <v>3</v>
      </c>
      <c r="C273" s="162" t="s">
        <v>17</v>
      </c>
      <c r="D273" s="162" t="s">
        <v>67</v>
      </c>
      <c r="E273" s="162"/>
      <c r="F273" s="162"/>
      <c r="G273" s="162"/>
      <c r="H273" s="162">
        <f>SUM(H274:H280)</f>
        <v>419570</v>
      </c>
      <c r="I273" s="163"/>
      <c r="J273" s="163"/>
    </row>
    <row r="274" spans="2:10" ht="14.25">
      <c r="B274" s="16"/>
      <c r="C274" s="16" t="s">
        <v>69</v>
      </c>
      <c r="D274" s="16"/>
      <c r="E274" s="16"/>
      <c r="F274" s="16">
        <v>10</v>
      </c>
      <c r="G274" s="16">
        <v>2769</v>
      </c>
      <c r="H274" s="16">
        <f>F274*G274</f>
        <v>27690</v>
      </c>
      <c r="I274" s="2"/>
      <c r="J274" s="2"/>
    </row>
    <row r="275" spans="2:10" ht="14.25">
      <c r="B275" s="16"/>
      <c r="C275" s="16" t="s">
        <v>70</v>
      </c>
      <c r="D275" s="16"/>
      <c r="E275" s="16"/>
      <c r="F275" s="16">
        <v>10</v>
      </c>
      <c r="G275" s="16">
        <v>3729</v>
      </c>
      <c r="H275" s="16">
        <f aca="true" t="shared" si="10" ref="H275:H281">F275*G275</f>
        <v>37290</v>
      </c>
      <c r="I275" s="2"/>
      <c r="J275" s="2"/>
    </row>
    <row r="276" spans="2:10" ht="14.25">
      <c r="B276" s="16"/>
      <c r="C276" s="16" t="s">
        <v>277</v>
      </c>
      <c r="D276" s="16"/>
      <c r="E276" s="16"/>
      <c r="F276" s="16">
        <v>10</v>
      </c>
      <c r="G276" s="16">
        <v>4418</v>
      </c>
      <c r="H276" s="16">
        <f t="shared" si="10"/>
        <v>44180</v>
      </c>
      <c r="I276" s="2"/>
      <c r="J276" s="2"/>
    </row>
    <row r="277" spans="2:10" ht="14.25">
      <c r="B277" s="16"/>
      <c r="C277" s="16" t="s">
        <v>72</v>
      </c>
      <c r="D277" s="16"/>
      <c r="E277" s="16"/>
      <c r="F277" s="16">
        <v>10</v>
      </c>
      <c r="G277" s="16">
        <v>5441</v>
      </c>
      <c r="H277" s="16">
        <f t="shared" si="10"/>
        <v>54410</v>
      </c>
      <c r="I277" s="2"/>
      <c r="J277" s="2"/>
    </row>
    <row r="278" spans="2:10" ht="14.25">
      <c r="B278" s="16"/>
      <c r="C278" s="16" t="s">
        <v>73</v>
      </c>
      <c r="D278" s="16"/>
      <c r="E278" s="16"/>
      <c r="F278" s="16">
        <v>10</v>
      </c>
      <c r="G278" s="16">
        <v>5700</v>
      </c>
      <c r="H278" s="16">
        <f t="shared" si="10"/>
        <v>57000</v>
      </c>
      <c r="I278" s="2"/>
      <c r="J278" s="2"/>
    </row>
    <row r="279" spans="2:10" ht="14.25">
      <c r="B279" s="16"/>
      <c r="C279" s="16" t="s">
        <v>275</v>
      </c>
      <c r="D279" s="16"/>
      <c r="E279" s="16"/>
      <c r="F279" s="16">
        <v>10</v>
      </c>
      <c r="G279" s="16">
        <v>8500</v>
      </c>
      <c r="H279" s="16">
        <f t="shared" si="10"/>
        <v>85000</v>
      </c>
      <c r="I279" s="2"/>
      <c r="J279" s="2"/>
    </row>
    <row r="280" spans="2:10" ht="14.25">
      <c r="B280" s="16"/>
      <c r="C280" s="16" t="s">
        <v>111</v>
      </c>
      <c r="D280" s="16"/>
      <c r="E280" s="16"/>
      <c r="F280" s="16">
        <v>10</v>
      </c>
      <c r="G280" s="16">
        <v>11400</v>
      </c>
      <c r="H280" s="16">
        <f t="shared" si="10"/>
        <v>114000</v>
      </c>
      <c r="I280" s="2"/>
      <c r="J280" s="2"/>
    </row>
    <row r="281" spans="2:10" ht="14.25">
      <c r="B281" s="165">
        <v>4</v>
      </c>
      <c r="C281" s="165" t="s">
        <v>113</v>
      </c>
      <c r="D281" s="165" t="s">
        <v>67</v>
      </c>
      <c r="E281" s="165"/>
      <c r="F281" s="165">
        <v>10</v>
      </c>
      <c r="G281" s="165">
        <v>2819</v>
      </c>
      <c r="H281" s="165">
        <f t="shared" si="10"/>
        <v>28190</v>
      </c>
      <c r="I281" s="166"/>
      <c r="J281" s="166"/>
    </row>
    <row r="282" spans="2:10" ht="14.25">
      <c r="B282" s="162">
        <v>5</v>
      </c>
      <c r="C282" s="162" t="s">
        <v>278</v>
      </c>
      <c r="D282" s="162" t="s">
        <v>67</v>
      </c>
      <c r="E282" s="162"/>
      <c r="F282" s="162"/>
      <c r="G282" s="162"/>
      <c r="H282" s="162">
        <f>SUM(H283:H284)</f>
        <v>9000</v>
      </c>
      <c r="I282" s="163"/>
      <c r="J282" s="163"/>
    </row>
    <row r="283" spans="2:10" ht="14.25">
      <c r="B283" s="16"/>
      <c r="C283" s="16" t="s">
        <v>111</v>
      </c>
      <c r="D283" s="16"/>
      <c r="E283" s="16"/>
      <c r="F283" s="16">
        <v>1</v>
      </c>
      <c r="G283" s="16">
        <v>6000</v>
      </c>
      <c r="H283" s="16">
        <f>F283*G283</f>
        <v>6000</v>
      </c>
      <c r="I283" s="2"/>
      <c r="J283" s="2"/>
    </row>
    <row r="284" spans="2:10" ht="14.25">
      <c r="B284" s="16"/>
      <c r="C284" s="16" t="s">
        <v>116</v>
      </c>
      <c r="D284" s="16"/>
      <c r="E284" s="16"/>
      <c r="F284" s="16">
        <v>1</v>
      </c>
      <c r="G284" s="16">
        <v>3000</v>
      </c>
      <c r="H284" s="16">
        <f>F284*G284</f>
        <v>3000</v>
      </c>
      <c r="I284" s="2"/>
      <c r="J284" s="2"/>
    </row>
    <row r="285" spans="2:10" ht="14.25">
      <c r="B285" s="162">
        <v>6</v>
      </c>
      <c r="C285" s="162" t="s">
        <v>269</v>
      </c>
      <c r="D285" s="162"/>
      <c r="E285" s="162"/>
      <c r="F285" s="162"/>
      <c r="G285" s="162"/>
      <c r="H285" s="162">
        <f>(H282+H273+H270+H281+H261)*0.1</f>
        <v>221646</v>
      </c>
      <c r="I285" s="163"/>
      <c r="J285" s="163"/>
    </row>
    <row r="286" spans="2:10" ht="15">
      <c r="B286" s="82" t="s">
        <v>22</v>
      </c>
      <c r="C286" s="82" t="s">
        <v>50</v>
      </c>
      <c r="D286" s="82"/>
      <c r="E286" s="82"/>
      <c r="F286" s="82"/>
      <c r="G286" s="82"/>
      <c r="H286" s="82">
        <f>H287+H297+H298</f>
        <v>2207700</v>
      </c>
      <c r="I286" s="161"/>
      <c r="J286" s="161"/>
    </row>
    <row r="287" spans="2:10" ht="14.25">
      <c r="B287" s="162">
        <v>1</v>
      </c>
      <c r="C287" s="162"/>
      <c r="D287" s="162" t="s">
        <v>8</v>
      </c>
      <c r="E287" s="162"/>
      <c r="F287" s="162"/>
      <c r="G287" s="162"/>
      <c r="H287" s="162">
        <f>SUM(H288:H296)</f>
        <v>607000</v>
      </c>
      <c r="I287" s="163"/>
      <c r="J287" s="163"/>
    </row>
    <row r="288" spans="2:10" ht="15">
      <c r="B288" s="21"/>
      <c r="C288" s="68" t="s">
        <v>279</v>
      </c>
      <c r="D288" s="21"/>
      <c r="E288" s="21"/>
      <c r="F288" s="21">
        <v>100</v>
      </c>
      <c r="G288" s="21">
        <v>170</v>
      </c>
      <c r="H288" s="21">
        <f>F288*G288</f>
        <v>17000</v>
      </c>
      <c r="I288" s="164"/>
      <c r="J288" s="164"/>
    </row>
    <row r="289" spans="2:10" ht="15">
      <c r="B289" s="21"/>
      <c r="C289" s="68" t="s">
        <v>280</v>
      </c>
      <c r="D289" s="21"/>
      <c r="E289" s="21"/>
      <c r="F289" s="21">
        <v>100</v>
      </c>
      <c r="G289" s="21">
        <v>200</v>
      </c>
      <c r="H289" s="21">
        <f aca="true" t="shared" si="11" ref="H289:H296">F289*G289</f>
        <v>20000</v>
      </c>
      <c r="I289" s="164"/>
      <c r="J289" s="164"/>
    </row>
    <row r="290" spans="2:10" ht="15">
      <c r="B290" s="21"/>
      <c r="C290" s="68" t="s">
        <v>281</v>
      </c>
      <c r="D290" s="21"/>
      <c r="E290" s="21"/>
      <c r="F290" s="21">
        <v>100</v>
      </c>
      <c r="G290" s="21">
        <v>250</v>
      </c>
      <c r="H290" s="21">
        <f t="shared" si="11"/>
        <v>25000</v>
      </c>
      <c r="I290" s="164"/>
      <c r="J290" s="164"/>
    </row>
    <row r="291" spans="2:10" ht="15">
      <c r="B291" s="21"/>
      <c r="C291" s="68" t="s">
        <v>282</v>
      </c>
      <c r="D291" s="21"/>
      <c r="E291" s="21"/>
      <c r="F291" s="21">
        <v>100</v>
      </c>
      <c r="G291" s="21">
        <v>400</v>
      </c>
      <c r="H291" s="21">
        <f t="shared" si="11"/>
        <v>40000</v>
      </c>
      <c r="I291" s="164"/>
      <c r="J291" s="164"/>
    </row>
    <row r="292" spans="2:10" ht="15">
      <c r="B292" s="21"/>
      <c r="C292" s="68" t="s">
        <v>283</v>
      </c>
      <c r="D292" s="21"/>
      <c r="E292" s="21"/>
      <c r="F292" s="21">
        <v>100</v>
      </c>
      <c r="G292" s="21">
        <v>550</v>
      </c>
      <c r="H292" s="21">
        <f t="shared" si="11"/>
        <v>55000</v>
      </c>
      <c r="I292" s="164"/>
      <c r="J292" s="164"/>
    </row>
    <row r="293" spans="2:10" ht="15">
      <c r="B293" s="21"/>
      <c r="C293" s="68" t="s">
        <v>284</v>
      </c>
      <c r="D293" s="21"/>
      <c r="E293" s="21"/>
      <c r="F293" s="21">
        <v>100</v>
      </c>
      <c r="G293" s="21">
        <v>750</v>
      </c>
      <c r="H293" s="21">
        <f t="shared" si="11"/>
        <v>75000</v>
      </c>
      <c r="I293" s="164"/>
      <c r="J293" s="164"/>
    </row>
    <row r="294" spans="2:10" ht="15">
      <c r="B294" s="21"/>
      <c r="C294" s="68" t="s">
        <v>285</v>
      </c>
      <c r="D294" s="21"/>
      <c r="E294" s="21"/>
      <c r="F294" s="21">
        <v>100</v>
      </c>
      <c r="G294" s="21">
        <v>1000</v>
      </c>
      <c r="H294" s="21">
        <f t="shared" si="11"/>
        <v>100000</v>
      </c>
      <c r="I294" s="164"/>
      <c r="J294" s="164"/>
    </row>
    <row r="295" spans="2:10" ht="15">
      <c r="B295" s="21"/>
      <c r="C295" s="68" t="s">
        <v>286</v>
      </c>
      <c r="D295" s="21"/>
      <c r="E295" s="21"/>
      <c r="F295" s="21">
        <v>100</v>
      </c>
      <c r="G295" s="21">
        <v>1250</v>
      </c>
      <c r="H295" s="21">
        <f t="shared" si="11"/>
        <v>125000</v>
      </c>
      <c r="I295" s="164"/>
      <c r="J295" s="164"/>
    </row>
    <row r="296" spans="2:10" ht="15">
      <c r="B296" s="21"/>
      <c r="C296" s="68" t="s">
        <v>287</v>
      </c>
      <c r="D296" s="21"/>
      <c r="E296" s="21"/>
      <c r="F296" s="21">
        <v>100</v>
      </c>
      <c r="G296" s="21">
        <v>1500</v>
      </c>
      <c r="H296" s="21">
        <f t="shared" si="11"/>
        <v>150000</v>
      </c>
      <c r="I296" s="164"/>
      <c r="J296" s="164"/>
    </row>
    <row r="297" spans="2:10" ht="14.25">
      <c r="B297" s="165">
        <v>2</v>
      </c>
      <c r="C297" s="165" t="s">
        <v>288</v>
      </c>
      <c r="D297" s="165" t="s">
        <v>289</v>
      </c>
      <c r="E297" s="165"/>
      <c r="F297" s="165">
        <v>100</v>
      </c>
      <c r="G297" s="165">
        <v>14000</v>
      </c>
      <c r="H297" s="165">
        <f>F297*G297</f>
        <v>1400000</v>
      </c>
      <c r="I297" s="166"/>
      <c r="J297" s="166"/>
    </row>
    <row r="298" spans="2:10" ht="14.25">
      <c r="B298" s="165"/>
      <c r="C298" s="165" t="s">
        <v>269</v>
      </c>
      <c r="D298" s="165"/>
      <c r="E298" s="165"/>
      <c r="F298" s="165"/>
      <c r="G298" s="165"/>
      <c r="H298" s="165">
        <f>(H287+H297)*0.1</f>
        <v>200700</v>
      </c>
      <c r="I298" s="166"/>
      <c r="J298" s="166"/>
    </row>
    <row r="299" spans="2:10" ht="15">
      <c r="B299" s="82" t="s">
        <v>290</v>
      </c>
      <c r="C299" s="82" t="s">
        <v>291</v>
      </c>
      <c r="D299" s="82"/>
      <c r="E299" s="82"/>
      <c r="F299" s="82"/>
      <c r="G299" s="82"/>
      <c r="H299" s="82">
        <f>H300+H304+H308+H309</f>
        <v>105710</v>
      </c>
      <c r="I299" s="161"/>
      <c r="J299" s="161"/>
    </row>
    <row r="300" spans="2:10" ht="14.25">
      <c r="B300" s="162">
        <v>1</v>
      </c>
      <c r="C300" s="162" t="s">
        <v>68</v>
      </c>
      <c r="D300" s="162" t="s">
        <v>8</v>
      </c>
      <c r="E300" s="162"/>
      <c r="F300" s="162"/>
      <c r="G300" s="162"/>
      <c r="H300" s="162">
        <f>SUM(H301:H304)</f>
        <v>90000</v>
      </c>
      <c r="I300" s="163"/>
      <c r="J300" s="163"/>
    </row>
    <row r="301" spans="2:10" ht="14.25">
      <c r="B301" s="16"/>
      <c r="C301" s="16" t="s">
        <v>16</v>
      </c>
      <c r="D301" s="16"/>
      <c r="E301" s="16"/>
      <c r="F301" s="16">
        <v>100</v>
      </c>
      <c r="G301" s="16">
        <v>171</v>
      </c>
      <c r="H301" s="16">
        <f>F301*G301</f>
        <v>17100</v>
      </c>
      <c r="I301" s="2"/>
      <c r="J301" s="2"/>
    </row>
    <row r="302" spans="2:10" ht="14.25">
      <c r="B302" s="16"/>
      <c r="C302" s="16" t="s">
        <v>66</v>
      </c>
      <c r="D302" s="16"/>
      <c r="E302" s="16"/>
      <c r="F302" s="16">
        <v>100</v>
      </c>
      <c r="G302" s="16">
        <v>239</v>
      </c>
      <c r="H302" s="16">
        <f>F302*G302</f>
        <v>23900</v>
      </c>
      <c r="I302" s="2"/>
      <c r="J302" s="2"/>
    </row>
    <row r="303" spans="2:10" ht="14.25">
      <c r="B303" s="16"/>
      <c r="C303" s="16" t="s">
        <v>136</v>
      </c>
      <c r="D303" s="16"/>
      <c r="E303" s="16"/>
      <c r="F303" s="16">
        <v>100</v>
      </c>
      <c r="G303" s="16">
        <v>429</v>
      </c>
      <c r="H303" s="16">
        <f>F303*G303</f>
        <v>42900</v>
      </c>
      <c r="I303" s="2"/>
      <c r="J303" s="2"/>
    </row>
    <row r="304" spans="2:10" ht="14.25">
      <c r="B304" s="162">
        <v>2</v>
      </c>
      <c r="C304" s="162" t="s">
        <v>74</v>
      </c>
      <c r="D304" s="162" t="s">
        <v>67</v>
      </c>
      <c r="E304" s="162"/>
      <c r="F304" s="162"/>
      <c r="G304" s="162"/>
      <c r="H304" s="162">
        <f>SUM(H305:H308)</f>
        <v>6100</v>
      </c>
      <c r="I304" s="163"/>
      <c r="J304" s="163"/>
    </row>
    <row r="305" spans="2:10" ht="14.25">
      <c r="B305" s="16"/>
      <c r="C305" s="16" t="s">
        <v>16</v>
      </c>
      <c r="D305" s="16"/>
      <c r="E305" s="16"/>
      <c r="F305" s="16">
        <v>1</v>
      </c>
      <c r="G305" s="16">
        <v>1800</v>
      </c>
      <c r="H305" s="16">
        <f>F305*G305</f>
        <v>1800</v>
      </c>
      <c r="I305" s="2"/>
      <c r="J305" s="2"/>
    </row>
    <row r="306" spans="2:10" ht="14.25">
      <c r="B306" s="16"/>
      <c r="C306" s="16" t="s">
        <v>66</v>
      </c>
      <c r="D306" s="16"/>
      <c r="E306" s="16"/>
      <c r="F306" s="16">
        <v>1</v>
      </c>
      <c r="G306" s="16">
        <v>2000</v>
      </c>
      <c r="H306" s="16">
        <f>F306*G306</f>
        <v>2000</v>
      </c>
      <c r="I306" s="2"/>
      <c r="J306" s="2"/>
    </row>
    <row r="307" spans="2:10" ht="14.25">
      <c r="B307" s="16"/>
      <c r="C307" s="16" t="s">
        <v>136</v>
      </c>
      <c r="D307" s="16"/>
      <c r="E307" s="16"/>
      <c r="F307" s="16">
        <v>1</v>
      </c>
      <c r="G307" s="16">
        <v>2300</v>
      </c>
      <c r="H307" s="16">
        <f>F307*G307</f>
        <v>2300</v>
      </c>
      <c r="I307" s="2"/>
      <c r="J307" s="2"/>
    </row>
    <row r="308" spans="2:10" ht="14.25">
      <c r="B308" s="165">
        <v>3</v>
      </c>
      <c r="C308" s="165" t="s">
        <v>292</v>
      </c>
      <c r="D308" s="165" t="s">
        <v>293</v>
      </c>
      <c r="E308" s="165"/>
      <c r="F308" s="165"/>
      <c r="G308" s="165"/>
      <c r="H308" s="165">
        <v>0</v>
      </c>
      <c r="I308" s="166"/>
      <c r="J308" s="166"/>
    </row>
    <row r="309" spans="2:10" ht="14.25">
      <c r="B309" s="165">
        <v>4</v>
      </c>
      <c r="C309" s="165" t="s">
        <v>269</v>
      </c>
      <c r="D309" s="165"/>
      <c r="E309" s="165"/>
      <c r="F309" s="165"/>
      <c r="G309" s="165"/>
      <c r="H309" s="165">
        <f>(H300+H304+H308)*0.1</f>
        <v>9610</v>
      </c>
      <c r="I309" s="166"/>
      <c r="J309" s="166"/>
    </row>
    <row r="310" spans="2:10" ht="15">
      <c r="B310" s="82" t="s">
        <v>294</v>
      </c>
      <c r="C310" s="82" t="s">
        <v>295</v>
      </c>
      <c r="D310" s="82"/>
      <c r="E310" s="82"/>
      <c r="F310" s="82"/>
      <c r="G310" s="82"/>
      <c r="H310" s="82">
        <f>SUM(H311:H316)</f>
        <v>4966500</v>
      </c>
      <c r="I310" s="161"/>
      <c r="J310" s="161"/>
    </row>
    <row r="311" spans="2:10" ht="14.25">
      <c r="B311" s="162">
        <v>1</v>
      </c>
      <c r="C311" s="162" t="s">
        <v>296</v>
      </c>
      <c r="D311" s="162" t="s">
        <v>8</v>
      </c>
      <c r="E311" s="162"/>
      <c r="F311" s="162">
        <v>100</v>
      </c>
      <c r="G311" s="162">
        <v>800</v>
      </c>
      <c r="H311" s="162">
        <f>SUM(H312:H313)</f>
        <v>1520000</v>
      </c>
      <c r="I311" s="163"/>
      <c r="J311" s="163"/>
    </row>
    <row r="312" spans="2:10" ht="14.25">
      <c r="B312" s="165">
        <v>2</v>
      </c>
      <c r="C312" s="165" t="s">
        <v>297</v>
      </c>
      <c r="D312" s="165" t="s">
        <v>8</v>
      </c>
      <c r="E312" s="165"/>
      <c r="F312" s="165">
        <v>100</v>
      </c>
      <c r="G312" s="165">
        <v>600</v>
      </c>
      <c r="H312" s="162">
        <f>SUM(H313:H314)</f>
        <v>1460000</v>
      </c>
      <c r="I312" s="166"/>
      <c r="J312" s="166"/>
    </row>
    <row r="313" spans="2:10" ht="14.25">
      <c r="B313" s="165">
        <v>3</v>
      </c>
      <c r="C313" s="165" t="s">
        <v>298</v>
      </c>
      <c r="D313" s="165" t="s">
        <v>8</v>
      </c>
      <c r="E313" s="165"/>
      <c r="F313" s="165">
        <v>100</v>
      </c>
      <c r="G313" s="165">
        <v>600</v>
      </c>
      <c r="H313" s="165">
        <f>F313*G313</f>
        <v>60000</v>
      </c>
      <c r="I313" s="166"/>
      <c r="J313" s="166"/>
    </row>
    <row r="314" spans="2:10" ht="14.25">
      <c r="B314" s="165">
        <v>4</v>
      </c>
      <c r="C314" s="165" t="s">
        <v>299</v>
      </c>
      <c r="D314" s="165" t="s">
        <v>300</v>
      </c>
      <c r="E314" s="165"/>
      <c r="F314" s="165">
        <v>100</v>
      </c>
      <c r="G314" s="165">
        <v>14000</v>
      </c>
      <c r="H314" s="165">
        <f>F314*G314</f>
        <v>1400000</v>
      </c>
      <c r="I314" s="166"/>
      <c r="J314" s="166"/>
    </row>
    <row r="315" spans="2:10" ht="14.25">
      <c r="B315" s="165">
        <v>5</v>
      </c>
      <c r="C315" s="165" t="s">
        <v>301</v>
      </c>
      <c r="D315" s="165" t="s">
        <v>23</v>
      </c>
      <c r="E315" s="165"/>
      <c r="F315" s="165">
        <v>250</v>
      </c>
      <c r="G315" s="165">
        <v>300</v>
      </c>
      <c r="H315" s="165">
        <f>F315*G315</f>
        <v>75000</v>
      </c>
      <c r="I315" s="166"/>
      <c r="J315" s="166"/>
    </row>
    <row r="316" spans="2:10" ht="14.25">
      <c r="B316" s="165">
        <v>6</v>
      </c>
      <c r="C316" s="165" t="s">
        <v>269</v>
      </c>
      <c r="D316" s="165"/>
      <c r="E316" s="165"/>
      <c r="F316" s="165"/>
      <c r="G316" s="165"/>
      <c r="H316" s="165">
        <f>(H311+H312+H313+H315+H314)*0.1</f>
        <v>451500</v>
      </c>
      <c r="I316" s="166"/>
      <c r="J316" s="166"/>
    </row>
    <row r="317" spans="2:10" ht="15">
      <c r="B317" s="167"/>
      <c r="C317" s="167" t="s">
        <v>302</v>
      </c>
      <c r="D317" s="167"/>
      <c r="E317" s="167"/>
      <c r="F317" s="167"/>
      <c r="G317" s="167"/>
      <c r="H317" s="167">
        <f>H310+H299+H286+H260+H218+H214</f>
        <v>45513666</v>
      </c>
      <c r="I317" s="168"/>
      <c r="J317" s="168"/>
    </row>
    <row r="338" ht="14.25">
      <c r="H338" s="223">
        <f>F339+G339</f>
        <v>31.79</v>
      </c>
    </row>
    <row r="339" spans="6:8" ht="14.25">
      <c r="F339" s="223">
        <v>3.54</v>
      </c>
      <c r="G339" s="223">
        <v>28.25</v>
      </c>
      <c r="H339" s="23" t="e">
        <f>chitiet!#REF!</f>
        <v>#REF!</v>
      </c>
    </row>
    <row r="340" spans="4:8" ht="15" thickBot="1">
      <c r="D340" s="20">
        <f>SUM(D342:D355)</f>
        <v>83865</v>
      </c>
      <c r="F340" s="23">
        <f>SUM(F341:F354)</f>
        <v>3544</v>
      </c>
      <c r="G340" s="23">
        <f>SUM(G341:G405)</f>
        <v>28253</v>
      </c>
      <c r="H340" s="23">
        <f>F340+G340</f>
        <v>31797</v>
      </c>
    </row>
    <row r="341" spans="4:7" ht="15" thickBot="1">
      <c r="D341" s="204"/>
      <c r="F341" s="208">
        <v>420</v>
      </c>
      <c r="G341" s="214">
        <v>798</v>
      </c>
    </row>
    <row r="342" spans="4:7" ht="15" thickBot="1">
      <c r="D342" s="205">
        <v>7718</v>
      </c>
      <c r="F342" s="209"/>
      <c r="G342" s="215">
        <v>1463</v>
      </c>
    </row>
    <row r="343" spans="4:7" ht="15.75" thickBot="1">
      <c r="D343" s="206"/>
      <c r="F343" s="210">
        <v>483</v>
      </c>
      <c r="G343" s="216"/>
    </row>
    <row r="344" spans="4:7" ht="15" thickBot="1">
      <c r="D344" s="205">
        <v>8880</v>
      </c>
      <c r="F344" s="210">
        <v>514</v>
      </c>
      <c r="G344" s="217"/>
    </row>
    <row r="345" spans="4:7" ht="15" thickBot="1">
      <c r="D345" s="205">
        <v>10707</v>
      </c>
      <c r="F345" s="210">
        <v>827</v>
      </c>
      <c r="G345" s="215">
        <v>672</v>
      </c>
    </row>
    <row r="346" spans="4:7" ht="15.75" thickBot="1">
      <c r="D346" s="205">
        <v>17220</v>
      </c>
      <c r="F346" s="211"/>
      <c r="G346" s="215">
        <v>393</v>
      </c>
    </row>
    <row r="347" spans="4:7" ht="15.75" thickBot="1">
      <c r="D347" s="207"/>
      <c r="F347" s="211"/>
      <c r="G347" s="216"/>
    </row>
    <row r="348" spans="4:7" ht="15.75" thickBot="1">
      <c r="D348" s="207"/>
      <c r="F348" s="210">
        <v>325</v>
      </c>
      <c r="G348" s="217"/>
    </row>
    <row r="349" spans="4:7" ht="15" thickBot="1">
      <c r="D349" s="205">
        <v>6478</v>
      </c>
      <c r="F349" s="210">
        <v>494</v>
      </c>
      <c r="G349" s="215">
        <v>1510</v>
      </c>
    </row>
    <row r="350" spans="4:7" ht="15.75" thickBot="1">
      <c r="D350" s="205">
        <v>10286</v>
      </c>
      <c r="F350" s="212"/>
      <c r="G350" s="216"/>
    </row>
    <row r="351" spans="4:7" ht="15.75" thickBot="1">
      <c r="D351" s="205">
        <v>12565</v>
      </c>
      <c r="F351" s="213"/>
      <c r="G351" s="217"/>
    </row>
    <row r="352" spans="4:7" ht="15.75" thickBot="1">
      <c r="D352" s="207"/>
      <c r="F352" s="213"/>
      <c r="G352" s="215">
        <v>93</v>
      </c>
    </row>
    <row r="353" spans="4:7" ht="15.75" thickBot="1">
      <c r="D353" s="207"/>
      <c r="F353" s="209"/>
      <c r="G353" s="215">
        <v>167</v>
      </c>
    </row>
    <row r="354" spans="4:7" ht="15.75" thickBot="1">
      <c r="D354" s="206"/>
      <c r="F354" s="210">
        <v>481</v>
      </c>
      <c r="G354" s="216"/>
    </row>
    <row r="355" spans="4:7" ht="15" thickBot="1">
      <c r="D355" s="205">
        <v>10011</v>
      </c>
      <c r="G355" s="217"/>
    </row>
    <row r="356" ht="15" thickBot="1">
      <c r="G356" s="215">
        <v>1558</v>
      </c>
    </row>
    <row r="357" spans="4:7" ht="15" thickBot="1">
      <c r="D357" s="20">
        <f>SUM(D358:D423)</f>
        <v>730388</v>
      </c>
      <c r="E357" s="229" t="e">
        <f>chitiet!#REF!</f>
        <v>#REF!</v>
      </c>
      <c r="F357" s="23">
        <f>SUM(F358:F388)</f>
        <v>163353</v>
      </c>
      <c r="G357" s="206"/>
    </row>
    <row r="358" spans="4:7" ht="15" thickBot="1">
      <c r="D358" s="224">
        <v>7520</v>
      </c>
      <c r="F358" s="224">
        <v>6352</v>
      </c>
      <c r="G358" s="215">
        <v>843</v>
      </c>
    </row>
    <row r="359" spans="4:7" ht="15" thickBot="1">
      <c r="D359" s="205">
        <v>53911</v>
      </c>
      <c r="F359" s="205">
        <v>1851</v>
      </c>
      <c r="G359" s="215">
        <v>369</v>
      </c>
    </row>
    <row r="360" spans="4:7" ht="15.75" thickBot="1">
      <c r="D360" s="225"/>
      <c r="F360" s="205">
        <v>1763</v>
      </c>
      <c r="G360" s="215">
        <v>2181</v>
      </c>
    </row>
    <row r="361" spans="4:7" ht="15.75" thickBot="1">
      <c r="D361" s="225"/>
      <c r="F361" s="205">
        <v>9334</v>
      </c>
      <c r="G361" s="218"/>
    </row>
    <row r="362" spans="4:7" ht="15" thickBot="1">
      <c r="D362" s="205">
        <v>23503</v>
      </c>
      <c r="F362" s="205">
        <v>11208</v>
      </c>
      <c r="G362" s="218"/>
    </row>
    <row r="363" spans="4:7" ht="15" thickBot="1">
      <c r="D363" s="205">
        <v>15761</v>
      </c>
      <c r="F363" s="205">
        <v>2010</v>
      </c>
      <c r="G363" s="215">
        <v>2743</v>
      </c>
    </row>
    <row r="364" spans="4:7" ht="15.75" thickBot="1">
      <c r="D364" s="226"/>
      <c r="F364" s="205">
        <v>2699</v>
      </c>
      <c r="G364" s="218"/>
    </row>
    <row r="365" spans="4:7" ht="15.75" thickBot="1">
      <c r="D365" s="226"/>
      <c r="F365" s="205">
        <v>3651</v>
      </c>
      <c r="G365" s="218"/>
    </row>
    <row r="366" spans="4:7" ht="15" thickBot="1">
      <c r="D366" s="205">
        <v>55547</v>
      </c>
      <c r="F366" s="206"/>
      <c r="G366" s="215">
        <v>2264</v>
      </c>
    </row>
    <row r="367" spans="4:7" ht="15.75" thickBot="1">
      <c r="D367" s="226"/>
      <c r="F367" s="205">
        <v>7991</v>
      </c>
      <c r="G367" s="218"/>
    </row>
    <row r="368" spans="4:7" ht="15.75" thickBot="1">
      <c r="D368" s="226"/>
      <c r="F368" s="205">
        <v>22496</v>
      </c>
      <c r="G368" s="218"/>
    </row>
    <row r="369" spans="4:7" ht="15.75" thickBot="1">
      <c r="D369" s="205">
        <v>3262</v>
      </c>
      <c r="F369" s="207"/>
      <c r="G369" s="215">
        <v>3414</v>
      </c>
    </row>
    <row r="370" spans="4:7" ht="15.75" thickBot="1">
      <c r="D370" s="205">
        <v>7864</v>
      </c>
      <c r="F370" s="207"/>
      <c r="G370" s="218"/>
    </row>
    <row r="371" spans="4:7" ht="15.75" thickBot="1">
      <c r="D371" s="226"/>
      <c r="F371" s="205">
        <v>8661</v>
      </c>
      <c r="G371" s="218"/>
    </row>
    <row r="372" spans="4:7" ht="15.75" thickBot="1">
      <c r="D372" s="226"/>
      <c r="F372" s="205">
        <v>1526</v>
      </c>
      <c r="G372" s="215">
        <v>2111</v>
      </c>
    </row>
    <row r="373" spans="4:7" ht="15" thickBot="1">
      <c r="D373" s="205">
        <v>54532</v>
      </c>
      <c r="F373" s="205">
        <v>1148</v>
      </c>
      <c r="G373" s="219"/>
    </row>
    <row r="374" spans="4:7" ht="15" thickBot="1">
      <c r="D374" s="227"/>
      <c r="F374" s="205">
        <v>17364</v>
      </c>
      <c r="G374" s="220"/>
    </row>
    <row r="375" spans="4:7" ht="15" thickBot="1">
      <c r="D375" s="205">
        <v>9086</v>
      </c>
      <c r="F375" s="205">
        <v>10909</v>
      </c>
      <c r="G375" s="215">
        <v>1485</v>
      </c>
    </row>
    <row r="376" spans="4:7" ht="15" thickBot="1">
      <c r="D376" s="205">
        <v>6906</v>
      </c>
      <c r="F376" s="205">
        <v>14505</v>
      </c>
      <c r="G376" s="219"/>
    </row>
    <row r="377" spans="4:7" ht="15" thickBot="1">
      <c r="D377" s="205">
        <v>24781</v>
      </c>
      <c r="F377" s="205">
        <v>3902</v>
      </c>
      <c r="G377" s="220"/>
    </row>
    <row r="378" spans="4:7" ht="15.75" thickBot="1">
      <c r="D378" s="225"/>
      <c r="F378" s="205">
        <v>1425</v>
      </c>
      <c r="G378" s="215">
        <v>365</v>
      </c>
    </row>
    <row r="379" spans="4:7" ht="15.75" thickBot="1">
      <c r="D379" s="225"/>
      <c r="F379" s="205">
        <v>862</v>
      </c>
      <c r="G379" s="215">
        <v>356</v>
      </c>
    </row>
    <row r="380" spans="4:7" ht="15" thickBot="1">
      <c r="D380" s="205">
        <v>31168</v>
      </c>
      <c r="F380" s="205">
        <v>4177</v>
      </c>
      <c r="G380" s="219"/>
    </row>
    <row r="381" spans="4:7" ht="15.75" thickBot="1">
      <c r="D381" s="225"/>
      <c r="F381" s="205">
        <v>3093</v>
      </c>
      <c r="G381" s="221"/>
    </row>
    <row r="382" spans="4:7" ht="15.75" thickBot="1">
      <c r="D382" s="225"/>
      <c r="F382" s="206"/>
      <c r="G382" s="221"/>
    </row>
    <row r="383" spans="4:7" ht="15" thickBot="1">
      <c r="D383" s="205">
        <v>25732</v>
      </c>
      <c r="F383" s="205">
        <v>6317</v>
      </c>
      <c r="G383" s="220"/>
    </row>
    <row r="384" spans="4:7" ht="15.75" thickBot="1">
      <c r="D384" s="225"/>
      <c r="F384" s="205">
        <v>1766</v>
      </c>
      <c r="G384" s="206"/>
    </row>
    <row r="385" spans="4:7" ht="15.75" thickBot="1">
      <c r="D385" s="225"/>
      <c r="F385" s="205">
        <v>2312</v>
      </c>
      <c r="G385" s="215">
        <v>116</v>
      </c>
    </row>
    <row r="386" spans="4:7" ht="15" thickBot="1">
      <c r="D386" s="205">
        <v>41942</v>
      </c>
      <c r="F386" s="205">
        <v>12136</v>
      </c>
      <c r="G386" s="215">
        <v>204</v>
      </c>
    </row>
    <row r="387" spans="4:7" ht="15.75" thickBot="1">
      <c r="D387" s="225"/>
      <c r="F387" s="205">
        <v>2010</v>
      </c>
      <c r="G387" s="215">
        <v>368</v>
      </c>
    </row>
    <row r="388" spans="4:7" ht="15.75" thickBot="1">
      <c r="D388" s="225"/>
      <c r="F388" s="205">
        <v>1885</v>
      </c>
      <c r="G388" s="219"/>
    </row>
    <row r="389" spans="4:7" ht="15" thickBot="1">
      <c r="D389" s="205">
        <v>76744</v>
      </c>
      <c r="G389" s="222"/>
    </row>
    <row r="390" spans="4:7" ht="15" thickBot="1">
      <c r="D390" s="228"/>
      <c r="G390" s="215">
        <v>45</v>
      </c>
    </row>
    <row r="391" spans="4:7" ht="15" thickBot="1">
      <c r="D391" s="228"/>
      <c r="G391" s="215">
        <v>198</v>
      </c>
    </row>
    <row r="392" spans="4:7" ht="15" thickBot="1">
      <c r="D392" s="205">
        <v>64032</v>
      </c>
      <c r="G392" s="215">
        <v>743</v>
      </c>
    </row>
    <row r="393" spans="4:7" ht="15" thickBot="1">
      <c r="D393" s="228"/>
      <c r="G393" s="219"/>
    </row>
    <row r="394" spans="4:7" ht="15" thickBot="1">
      <c r="D394" s="228"/>
      <c r="G394" s="222"/>
    </row>
    <row r="395" spans="4:7" ht="15" thickBot="1">
      <c r="D395" s="205">
        <v>12785</v>
      </c>
      <c r="G395" s="215">
        <v>128</v>
      </c>
    </row>
    <row r="396" spans="4:7" ht="15" thickBot="1">
      <c r="D396" s="205">
        <v>15081</v>
      </c>
      <c r="G396" s="215">
        <v>635</v>
      </c>
    </row>
    <row r="397" spans="4:7" ht="15" thickBot="1">
      <c r="D397" s="228"/>
      <c r="G397" s="219"/>
    </row>
    <row r="398" spans="4:7" ht="15.75" thickBot="1">
      <c r="D398" s="225"/>
      <c r="G398" s="220"/>
    </row>
    <row r="399" spans="4:7" ht="15.75" thickBot="1">
      <c r="D399" s="225"/>
      <c r="G399" s="215">
        <v>261</v>
      </c>
    </row>
    <row r="400" spans="4:7" ht="15" thickBot="1">
      <c r="D400" s="228"/>
      <c r="G400" s="215">
        <v>1564</v>
      </c>
    </row>
    <row r="401" spans="4:7" ht="15" thickBot="1">
      <c r="D401" s="227"/>
      <c r="G401" s="219"/>
    </row>
    <row r="402" spans="4:7" ht="15" thickBot="1">
      <c r="D402" s="205">
        <v>4077</v>
      </c>
      <c r="G402" s="220"/>
    </row>
    <row r="403" spans="4:7" ht="15" thickBot="1">
      <c r="D403" s="205">
        <v>7131</v>
      </c>
      <c r="G403" s="215">
        <v>1206</v>
      </c>
    </row>
    <row r="404" spans="4:7" ht="15" thickBot="1">
      <c r="D404" s="205">
        <v>13733</v>
      </c>
      <c r="G404" s="219"/>
    </row>
    <row r="405" spans="4:7" ht="15" thickBot="1">
      <c r="D405" s="228"/>
      <c r="G405" s="219"/>
    </row>
    <row r="406" ht="15" thickBot="1">
      <c r="D406" s="228"/>
    </row>
    <row r="407" ht="15" thickBot="1">
      <c r="D407" s="205">
        <v>1561</v>
      </c>
    </row>
    <row r="408" ht="15" thickBot="1">
      <c r="D408" s="205">
        <v>6917</v>
      </c>
    </row>
    <row r="409" spans="4:8" ht="15" thickBot="1">
      <c r="D409" s="205">
        <v>28303</v>
      </c>
      <c r="F409" s="23">
        <f>SUM(F410:F419)</f>
        <v>148867</v>
      </c>
      <c r="G409" s="23" t="e">
        <f>chitiet!#REF!</f>
        <v>#REF!</v>
      </c>
      <c r="H409" s="23" t="e">
        <f>G409-F409</f>
        <v>#REF!</v>
      </c>
    </row>
    <row r="410" spans="4:6" ht="15" thickBot="1">
      <c r="D410" s="228"/>
      <c r="F410" s="224">
        <v>17609</v>
      </c>
    </row>
    <row r="411" spans="4:6" ht="15" thickBot="1">
      <c r="D411" s="228"/>
      <c r="F411" s="227"/>
    </row>
    <row r="412" spans="4:6" ht="15" thickBot="1">
      <c r="D412" s="205">
        <v>4493</v>
      </c>
      <c r="F412" s="205">
        <v>19032</v>
      </c>
    </row>
    <row r="413" spans="4:6" ht="15" thickBot="1">
      <c r="D413" s="205">
        <v>24163</v>
      </c>
      <c r="F413" s="215">
        <v>70827</v>
      </c>
    </row>
    <row r="414" spans="4:6" ht="15" thickBot="1">
      <c r="D414" s="228"/>
      <c r="F414" s="228"/>
    </row>
    <row r="415" spans="4:6" ht="15" thickBot="1">
      <c r="D415" s="228"/>
      <c r="F415" s="228"/>
    </row>
    <row r="416" spans="4:6" ht="15" thickBot="1">
      <c r="D416" s="205">
        <v>9126</v>
      </c>
      <c r="F416" s="205">
        <v>11807</v>
      </c>
    </row>
    <row r="417" spans="4:6" ht="15" thickBot="1">
      <c r="D417" s="205">
        <v>56514</v>
      </c>
      <c r="F417" s="205">
        <v>19415</v>
      </c>
    </row>
    <row r="418" spans="4:6" ht="15" thickBot="1">
      <c r="D418" s="228"/>
      <c r="F418" s="227">
        <v>3494</v>
      </c>
    </row>
    <row r="419" spans="4:6" ht="15" thickBot="1">
      <c r="D419" s="228"/>
      <c r="F419" s="205">
        <v>6683</v>
      </c>
    </row>
    <row r="420" spans="4:6" ht="15" thickBot="1">
      <c r="D420" s="205">
        <v>44213</v>
      </c>
      <c r="F420" s="23">
        <v>3494</v>
      </c>
    </row>
    <row r="421" ht="15" thickBot="1">
      <c r="D421" s="228"/>
    </row>
    <row r="422" ht="15" thickBot="1">
      <c r="D422" s="228"/>
    </row>
    <row r="423" ht="15" thickBot="1">
      <c r="D423" s="228"/>
    </row>
    <row r="424" ht="15" thickBot="1">
      <c r="D424" s="206"/>
    </row>
    <row r="425" ht="14.25">
      <c r="F425" s="23">
        <f>70*4.2</f>
        <v>294</v>
      </c>
    </row>
    <row r="435" spans="3:12" ht="15" thickBot="1">
      <c r="C435" s="15">
        <f>SUM(C437:C451)</f>
        <v>83865</v>
      </c>
      <c r="D435" s="15">
        <f>SUM(D437:D451)</f>
        <v>362</v>
      </c>
      <c r="E435" s="15">
        <f>SUM(E437:E451)</f>
        <v>106</v>
      </c>
      <c r="F435" s="15">
        <f>SUM(F437:F451)</f>
        <v>3544</v>
      </c>
      <c r="G435" s="223">
        <f>SUM(G436:G449)</f>
        <v>3.5399999999999996</v>
      </c>
      <c r="I435" s="20">
        <f>SUM(I436:I468)</f>
        <v>163353</v>
      </c>
      <c r="K435" s="15">
        <f>SUM(K436:K445)</f>
        <v>148867</v>
      </c>
      <c r="L435" s="15">
        <f>SUM(L436:L446)</f>
        <v>148867</v>
      </c>
    </row>
    <row r="436" spans="3:12" ht="15.75" thickBot="1">
      <c r="C436" s="230"/>
      <c r="D436" s="231"/>
      <c r="E436" s="231"/>
      <c r="F436" s="232"/>
      <c r="G436" s="208">
        <v>0.42</v>
      </c>
      <c r="I436" s="230"/>
      <c r="K436" s="251">
        <v>17609</v>
      </c>
      <c r="L436" s="251">
        <v>17609</v>
      </c>
    </row>
    <row r="437" spans="3:12" ht="15.75" thickBot="1">
      <c r="C437" s="233">
        <v>7718</v>
      </c>
      <c r="D437" s="234">
        <v>45</v>
      </c>
      <c r="E437" s="234">
        <v>17</v>
      </c>
      <c r="F437" s="235">
        <v>420</v>
      </c>
      <c r="G437" s="213"/>
      <c r="I437" s="233">
        <v>6352</v>
      </c>
      <c r="K437" s="213"/>
      <c r="L437" s="213"/>
    </row>
    <row r="438" spans="3:12" ht="15.75" thickBot="1">
      <c r="C438" s="213"/>
      <c r="D438" s="236"/>
      <c r="E438" s="236"/>
      <c r="F438" s="237"/>
      <c r="G438" s="210">
        <v>0.48</v>
      </c>
      <c r="I438" s="233">
        <v>1851</v>
      </c>
      <c r="K438" s="233">
        <v>19032</v>
      </c>
      <c r="L438" s="233">
        <v>19032</v>
      </c>
    </row>
    <row r="439" spans="3:12" ht="15" thickBot="1">
      <c r="C439" s="233">
        <v>8880</v>
      </c>
      <c r="D439" s="234">
        <v>45</v>
      </c>
      <c r="E439" s="234">
        <v>17</v>
      </c>
      <c r="F439" s="235">
        <v>483</v>
      </c>
      <c r="G439" s="210">
        <v>0.51</v>
      </c>
      <c r="I439" s="233">
        <v>1763</v>
      </c>
      <c r="K439" s="210">
        <v>70827</v>
      </c>
      <c r="L439" s="210">
        <v>70827</v>
      </c>
    </row>
    <row r="440" spans="3:12" ht="15" thickBot="1">
      <c r="C440" s="233">
        <v>10707</v>
      </c>
      <c r="D440" s="234">
        <v>45</v>
      </c>
      <c r="E440" s="234">
        <v>12</v>
      </c>
      <c r="F440" s="235">
        <v>514</v>
      </c>
      <c r="G440" s="210">
        <v>0.83</v>
      </c>
      <c r="I440" s="233">
        <v>9334</v>
      </c>
      <c r="K440" s="245"/>
      <c r="L440" s="245"/>
    </row>
    <row r="441" spans="3:12" ht="15.75" thickBot="1">
      <c r="C441" s="233">
        <v>17220</v>
      </c>
      <c r="D441" s="234">
        <v>45</v>
      </c>
      <c r="E441" s="234">
        <v>12</v>
      </c>
      <c r="F441" s="235">
        <v>827</v>
      </c>
      <c r="G441" s="211"/>
      <c r="I441" s="233">
        <v>11208</v>
      </c>
      <c r="K441" s="245"/>
      <c r="L441" s="245"/>
    </row>
    <row r="442" spans="3:12" ht="15.75" thickBot="1">
      <c r="C442" s="238"/>
      <c r="D442" s="239"/>
      <c r="E442" s="239"/>
      <c r="F442" s="240"/>
      <c r="G442" s="211"/>
      <c r="I442" s="233">
        <v>2010</v>
      </c>
      <c r="K442" s="233">
        <v>11807</v>
      </c>
      <c r="L442" s="233">
        <v>11807</v>
      </c>
    </row>
    <row r="443" spans="3:12" ht="15.75" thickBot="1">
      <c r="C443" s="238"/>
      <c r="D443" s="239"/>
      <c r="E443" s="239"/>
      <c r="F443" s="240"/>
      <c r="G443" s="210">
        <v>0.33</v>
      </c>
      <c r="I443" s="233">
        <v>2699</v>
      </c>
      <c r="K443" s="233">
        <v>19415</v>
      </c>
      <c r="L443" s="233">
        <v>19415</v>
      </c>
    </row>
    <row r="444" spans="3:12" ht="15.75" thickBot="1">
      <c r="C444" s="233">
        <v>6478</v>
      </c>
      <c r="D444" s="234">
        <v>47</v>
      </c>
      <c r="E444" s="234">
        <v>12</v>
      </c>
      <c r="F444" s="235">
        <v>325</v>
      </c>
      <c r="G444" s="210">
        <v>0.49</v>
      </c>
      <c r="I444" s="233">
        <v>3651</v>
      </c>
      <c r="K444" s="242">
        <v>3494</v>
      </c>
      <c r="L444" s="242"/>
    </row>
    <row r="445" spans="3:12" ht="15.75" thickBot="1">
      <c r="C445" s="233">
        <v>10286</v>
      </c>
      <c r="D445" s="234">
        <v>45</v>
      </c>
      <c r="E445" s="234">
        <v>12</v>
      </c>
      <c r="F445" s="235">
        <v>494</v>
      </c>
      <c r="G445" s="212"/>
      <c r="I445" s="213"/>
      <c r="K445" s="233">
        <v>6683</v>
      </c>
      <c r="L445" s="233">
        <v>6683</v>
      </c>
    </row>
    <row r="446" spans="3:12" ht="15" thickBot="1">
      <c r="C446" s="233">
        <v>12565</v>
      </c>
      <c r="D446" s="234">
        <v>45</v>
      </c>
      <c r="E446" s="234">
        <v>12</v>
      </c>
      <c r="F446" s="241"/>
      <c r="G446" s="212"/>
      <c r="I446" s="233">
        <v>7991</v>
      </c>
      <c r="L446" s="233">
        <v>3494</v>
      </c>
    </row>
    <row r="447" spans="3:9" ht="15.75" thickBot="1">
      <c r="C447" s="238"/>
      <c r="D447" s="234"/>
      <c r="E447" s="234"/>
      <c r="F447" s="241"/>
      <c r="G447" s="212"/>
      <c r="I447" s="233">
        <v>22496</v>
      </c>
    </row>
    <row r="448" spans="3:9" ht="15.75" thickBot="1">
      <c r="C448" s="238"/>
      <c r="D448" s="234"/>
      <c r="E448" s="234"/>
      <c r="F448" s="241"/>
      <c r="G448" s="242"/>
      <c r="I448" s="238"/>
    </row>
    <row r="449" spans="3:9" ht="15.75" thickBot="1">
      <c r="C449" s="242"/>
      <c r="D449" s="236"/>
      <c r="E449" s="236"/>
      <c r="F449" s="243"/>
      <c r="G449" s="210">
        <v>0.48</v>
      </c>
      <c r="I449" s="238"/>
    </row>
    <row r="450" spans="3:9" ht="15.75" thickBot="1">
      <c r="C450" s="233">
        <v>10011</v>
      </c>
      <c r="D450" s="234">
        <v>45</v>
      </c>
      <c r="E450" s="234">
        <v>12</v>
      </c>
      <c r="F450" s="235">
        <v>481</v>
      </c>
      <c r="G450" s="213">
        <v>3.54</v>
      </c>
      <c r="I450" s="233">
        <v>8661</v>
      </c>
    </row>
    <row r="451" spans="3:9" ht="15.75" thickBot="1">
      <c r="C451" s="213"/>
      <c r="D451" s="236"/>
      <c r="E451" s="236"/>
      <c r="F451" s="237"/>
      <c r="I451" s="233">
        <v>1526</v>
      </c>
    </row>
    <row r="452" ht="15" thickBot="1">
      <c r="I452" s="233">
        <v>1148</v>
      </c>
    </row>
    <row r="453" spans="3:9" ht="15.75" thickBot="1">
      <c r="C453" s="230"/>
      <c r="D453" s="231"/>
      <c r="E453" s="231"/>
      <c r="F453" s="232"/>
      <c r="I453" s="233">
        <v>17364</v>
      </c>
    </row>
    <row r="454" spans="3:9" ht="15" thickBot="1">
      <c r="C454" s="233">
        <v>7520</v>
      </c>
      <c r="D454" s="234">
        <v>40</v>
      </c>
      <c r="E454" s="234">
        <v>17</v>
      </c>
      <c r="F454" s="235">
        <v>798</v>
      </c>
      <c r="G454" s="250">
        <v>0.8</v>
      </c>
      <c r="I454" s="233">
        <v>10909</v>
      </c>
    </row>
    <row r="455" spans="3:9" ht="15" thickBot="1">
      <c r="C455" s="233">
        <v>53911</v>
      </c>
      <c r="D455" s="234">
        <v>38</v>
      </c>
      <c r="E455" s="234">
        <v>3</v>
      </c>
      <c r="F455" s="235">
        <v>1463</v>
      </c>
      <c r="G455" s="210">
        <v>1.46</v>
      </c>
      <c r="I455" s="233">
        <v>14505</v>
      </c>
    </row>
    <row r="456" spans="3:9" ht="15" thickBot="1">
      <c r="C456" s="233"/>
      <c r="D456" s="244">
        <v>40</v>
      </c>
      <c r="E456" s="244">
        <v>3</v>
      </c>
      <c r="F456" s="244"/>
      <c r="G456" s="247"/>
      <c r="I456" s="233">
        <v>3902</v>
      </c>
    </row>
    <row r="457" spans="3:9" ht="15" thickBot="1">
      <c r="C457" s="233"/>
      <c r="D457" s="244"/>
      <c r="E457" s="244"/>
      <c r="F457" s="241"/>
      <c r="G457" s="212"/>
      <c r="I457" s="233">
        <v>1425</v>
      </c>
    </row>
    <row r="458" spans="3:9" ht="15" thickBot="1">
      <c r="C458" s="233">
        <v>23503</v>
      </c>
      <c r="D458" s="244">
        <v>40</v>
      </c>
      <c r="E458" s="244">
        <v>3</v>
      </c>
      <c r="F458" s="235">
        <v>672</v>
      </c>
      <c r="G458" s="210">
        <v>0.67</v>
      </c>
      <c r="I458" s="233">
        <v>862</v>
      </c>
    </row>
    <row r="459" spans="3:9" ht="15" thickBot="1">
      <c r="C459" s="233">
        <v>15761</v>
      </c>
      <c r="D459" s="234">
        <v>34.9</v>
      </c>
      <c r="E459" s="234">
        <v>3</v>
      </c>
      <c r="F459" s="235">
        <v>393</v>
      </c>
      <c r="G459" s="210">
        <v>0.39</v>
      </c>
      <c r="I459" s="233">
        <v>4177</v>
      </c>
    </row>
    <row r="460" spans="3:9" ht="15" thickBot="1">
      <c r="C460" s="245"/>
      <c r="D460" s="244">
        <v>40</v>
      </c>
      <c r="E460" s="244">
        <v>3</v>
      </c>
      <c r="F460" s="244"/>
      <c r="G460" s="247"/>
      <c r="I460" s="233">
        <v>3093</v>
      </c>
    </row>
    <row r="461" spans="3:9" ht="15.75" thickBot="1">
      <c r="C461" s="245"/>
      <c r="D461" s="244"/>
      <c r="E461" s="244"/>
      <c r="F461" s="241"/>
      <c r="G461" s="212"/>
      <c r="I461" s="242"/>
    </row>
    <row r="462" spans="3:9" ht="15" thickBot="1">
      <c r="C462" s="233">
        <v>55547</v>
      </c>
      <c r="D462" s="234">
        <v>38.1</v>
      </c>
      <c r="E462" s="234">
        <v>3</v>
      </c>
      <c r="F462" s="235">
        <v>1510</v>
      </c>
      <c r="G462" s="210">
        <v>1.51</v>
      </c>
      <c r="I462" s="233">
        <v>6317</v>
      </c>
    </row>
    <row r="463" spans="3:9" ht="15" thickBot="1">
      <c r="C463" s="245"/>
      <c r="D463" s="244">
        <v>40</v>
      </c>
      <c r="E463" s="244">
        <v>3</v>
      </c>
      <c r="F463" s="244"/>
      <c r="G463" s="247"/>
      <c r="I463" s="233">
        <v>1766</v>
      </c>
    </row>
    <row r="464" spans="3:9" ht="15" thickBot="1">
      <c r="C464" s="245"/>
      <c r="D464" s="244"/>
      <c r="E464" s="244"/>
      <c r="F464" s="241"/>
      <c r="G464" s="212"/>
      <c r="I464" s="233">
        <v>2312</v>
      </c>
    </row>
    <row r="465" spans="3:9" ht="15" thickBot="1">
      <c r="C465" s="233">
        <v>3262</v>
      </c>
      <c r="D465" s="244">
        <v>40</v>
      </c>
      <c r="E465" s="244">
        <v>3</v>
      </c>
      <c r="F465" s="235">
        <v>93</v>
      </c>
      <c r="G465" s="210">
        <v>0.09</v>
      </c>
      <c r="I465" s="233">
        <v>12136</v>
      </c>
    </row>
    <row r="466" spans="3:9" ht="15" thickBot="1">
      <c r="C466" s="233">
        <v>7864</v>
      </c>
      <c r="D466" s="234">
        <v>29.6</v>
      </c>
      <c r="E466" s="234">
        <v>3</v>
      </c>
      <c r="F466" s="235">
        <v>167</v>
      </c>
      <c r="G466" s="210">
        <v>0.17</v>
      </c>
      <c r="I466" s="233">
        <v>2010</v>
      </c>
    </row>
    <row r="467" spans="3:9" ht="15" thickBot="1">
      <c r="C467" s="245"/>
      <c r="D467" s="244">
        <v>40</v>
      </c>
      <c r="E467" s="244">
        <v>3</v>
      </c>
      <c r="F467" s="244"/>
      <c r="G467" s="247"/>
      <c r="I467" s="233">
        <v>1885</v>
      </c>
    </row>
    <row r="468" spans="3:9" ht="15.75" thickBot="1">
      <c r="C468" s="245"/>
      <c r="D468" s="244"/>
      <c r="E468" s="244"/>
      <c r="F468" s="241"/>
      <c r="G468" s="212"/>
      <c r="I468" s="213"/>
    </row>
    <row r="469" spans="3:7" ht="15" thickBot="1">
      <c r="C469" s="233">
        <v>54532</v>
      </c>
      <c r="D469" s="244">
        <v>40</v>
      </c>
      <c r="E469" s="244">
        <v>3</v>
      </c>
      <c r="F469" s="235">
        <v>1558</v>
      </c>
      <c r="G469" s="210">
        <v>1.56</v>
      </c>
    </row>
    <row r="470" spans="3:7" ht="15.75" thickBot="1">
      <c r="C470" s="213"/>
      <c r="D470" s="236"/>
      <c r="E470" s="236"/>
      <c r="F470" s="237"/>
      <c r="G470" s="213"/>
    </row>
    <row r="471" spans="3:7" ht="15" thickBot="1">
      <c r="C471" s="233">
        <v>9086</v>
      </c>
      <c r="D471" s="234">
        <v>40</v>
      </c>
      <c r="E471" s="234">
        <v>17</v>
      </c>
      <c r="F471" s="235">
        <v>843</v>
      </c>
      <c r="G471" s="210">
        <v>0.84</v>
      </c>
    </row>
    <row r="472" spans="3:7" ht="15" thickBot="1">
      <c r="C472" s="233">
        <v>6906</v>
      </c>
      <c r="D472" s="234">
        <v>44</v>
      </c>
      <c r="E472" s="234" t="s">
        <v>312</v>
      </c>
      <c r="F472" s="235">
        <v>369</v>
      </c>
      <c r="G472" s="210">
        <v>0.37</v>
      </c>
    </row>
    <row r="473" spans="3:7" ht="15" thickBot="1">
      <c r="C473" s="233">
        <v>24781</v>
      </c>
      <c r="D473" s="234">
        <v>40</v>
      </c>
      <c r="E473" s="234">
        <v>12</v>
      </c>
      <c r="F473" s="235">
        <v>2181</v>
      </c>
      <c r="G473" s="210">
        <v>2.18</v>
      </c>
    </row>
    <row r="474" spans="3:7" ht="15.75" thickBot="1">
      <c r="C474" s="238"/>
      <c r="D474" s="234"/>
      <c r="E474" s="234"/>
      <c r="F474" s="235"/>
      <c r="G474" s="210"/>
    </row>
    <row r="475" spans="3:7" ht="15.75" thickBot="1">
      <c r="C475" s="238"/>
      <c r="D475" s="234"/>
      <c r="E475" s="234"/>
      <c r="F475" s="235"/>
      <c r="G475" s="210"/>
    </row>
    <row r="476" spans="3:7" ht="15" thickBot="1">
      <c r="C476" s="233">
        <v>31168</v>
      </c>
      <c r="D476" s="234">
        <v>40</v>
      </c>
      <c r="E476" s="234">
        <v>12</v>
      </c>
      <c r="F476" s="235">
        <v>2743</v>
      </c>
      <c r="G476" s="210">
        <v>2.74</v>
      </c>
    </row>
    <row r="477" spans="3:7" ht="15.75" thickBot="1">
      <c r="C477" s="238"/>
      <c r="D477" s="234"/>
      <c r="E477" s="234"/>
      <c r="F477" s="235"/>
      <c r="G477" s="210"/>
    </row>
    <row r="478" spans="3:7" ht="15.75" thickBot="1">
      <c r="C478" s="238"/>
      <c r="D478" s="234"/>
      <c r="E478" s="234"/>
      <c r="F478" s="235"/>
      <c r="G478" s="210"/>
    </row>
    <row r="479" spans="3:7" ht="15" thickBot="1">
      <c r="C479" s="233">
        <v>25732</v>
      </c>
      <c r="D479" s="234">
        <v>40</v>
      </c>
      <c r="E479" s="234">
        <v>12</v>
      </c>
      <c r="F479" s="235">
        <v>2264</v>
      </c>
      <c r="G479" s="210">
        <v>2.26</v>
      </c>
    </row>
    <row r="480" spans="3:7" ht="15.75" thickBot="1">
      <c r="C480" s="238"/>
      <c r="D480" s="234"/>
      <c r="E480" s="234"/>
      <c r="F480" s="235"/>
      <c r="G480" s="210"/>
    </row>
    <row r="481" spans="3:7" ht="15.75" thickBot="1">
      <c r="C481" s="238"/>
      <c r="D481" s="234"/>
      <c r="E481" s="234"/>
      <c r="F481" s="235"/>
      <c r="G481" s="210"/>
    </row>
    <row r="482" spans="3:7" ht="15" thickBot="1">
      <c r="C482" s="233">
        <v>41942</v>
      </c>
      <c r="D482" s="234">
        <v>23.8</v>
      </c>
      <c r="E482" s="234">
        <v>3</v>
      </c>
      <c r="F482" s="235">
        <v>750</v>
      </c>
      <c r="G482" s="210">
        <v>0.75</v>
      </c>
    </row>
    <row r="483" spans="3:7" ht="15.75" thickBot="1">
      <c r="C483" s="238"/>
      <c r="D483" s="234"/>
      <c r="E483" s="234"/>
      <c r="F483" s="235"/>
      <c r="G483" s="210"/>
    </row>
    <row r="484" spans="3:7" ht="15.75" thickBot="1">
      <c r="C484" s="238"/>
      <c r="D484" s="234"/>
      <c r="E484" s="234"/>
      <c r="F484" s="235"/>
      <c r="G484" s="210"/>
    </row>
    <row r="485" spans="3:7" ht="15.75" thickBot="1">
      <c r="C485" s="238"/>
      <c r="D485" s="234">
        <v>40</v>
      </c>
      <c r="E485" s="234">
        <v>3</v>
      </c>
      <c r="F485" s="235"/>
      <c r="G485" s="210"/>
    </row>
    <row r="486" spans="3:7" ht="15" thickBot="1">
      <c r="C486" s="233">
        <v>76744</v>
      </c>
      <c r="D486" s="234">
        <v>38.5</v>
      </c>
      <c r="E486" s="234">
        <v>3</v>
      </c>
      <c r="F486" s="235">
        <v>2111</v>
      </c>
      <c r="G486" s="210">
        <v>2.11</v>
      </c>
    </row>
    <row r="487" spans="3:7" ht="15" thickBot="1">
      <c r="C487" s="245"/>
      <c r="D487" s="244">
        <v>40</v>
      </c>
      <c r="E487" s="244">
        <v>3</v>
      </c>
      <c r="F487" s="244"/>
      <c r="G487" s="247"/>
    </row>
    <row r="488" spans="3:7" ht="15" thickBot="1">
      <c r="C488" s="245"/>
      <c r="D488" s="244"/>
      <c r="E488" s="244"/>
      <c r="F488" s="241"/>
      <c r="G488" s="212"/>
    </row>
    <row r="489" spans="3:7" ht="15" thickBot="1">
      <c r="C489" s="233">
        <v>64032</v>
      </c>
      <c r="D489" s="234">
        <v>32.5</v>
      </c>
      <c r="E489" s="234">
        <v>3</v>
      </c>
      <c r="F489" s="235">
        <v>1485</v>
      </c>
      <c r="G489" s="210">
        <v>1.49</v>
      </c>
    </row>
    <row r="490" spans="3:7" ht="15" thickBot="1">
      <c r="C490" s="245"/>
      <c r="D490" s="244">
        <v>40</v>
      </c>
      <c r="E490" s="244">
        <v>3</v>
      </c>
      <c r="F490" s="244"/>
      <c r="G490" s="247"/>
    </row>
    <row r="491" spans="3:7" ht="15" thickBot="1">
      <c r="C491" s="245"/>
      <c r="D491" s="244"/>
      <c r="E491" s="244"/>
      <c r="F491" s="241"/>
      <c r="G491" s="212"/>
    </row>
    <row r="492" spans="3:7" ht="15" thickBot="1">
      <c r="C492" s="233">
        <v>12785</v>
      </c>
      <c r="D492" s="244">
        <v>40</v>
      </c>
      <c r="E492" s="244">
        <v>3</v>
      </c>
      <c r="F492" s="235">
        <v>365</v>
      </c>
      <c r="G492" s="210">
        <v>0.36</v>
      </c>
    </row>
    <row r="493" spans="3:7" ht="15" thickBot="1">
      <c r="C493" s="233">
        <v>15081</v>
      </c>
      <c r="D493" s="234">
        <v>33.1</v>
      </c>
      <c r="E493" s="234">
        <v>3</v>
      </c>
      <c r="F493" s="235">
        <v>356</v>
      </c>
      <c r="G493" s="210">
        <v>0.36</v>
      </c>
    </row>
    <row r="494" spans="3:7" ht="15" thickBot="1">
      <c r="C494" s="245"/>
      <c r="D494" s="244">
        <v>40</v>
      </c>
      <c r="E494" s="244">
        <v>3</v>
      </c>
      <c r="F494" s="244"/>
      <c r="G494" s="247"/>
    </row>
    <row r="495" spans="3:7" ht="15.75" thickBot="1">
      <c r="C495" s="238"/>
      <c r="D495" s="244"/>
      <c r="E495" s="244"/>
      <c r="F495" s="244"/>
      <c r="G495" s="247"/>
    </row>
    <row r="496" spans="3:7" ht="15.75" thickBot="1">
      <c r="C496" s="238"/>
      <c r="D496" s="244"/>
      <c r="E496" s="244"/>
      <c r="F496" s="244"/>
      <c r="G496" s="247"/>
    </row>
    <row r="497" spans="3:7" ht="15" thickBot="1">
      <c r="C497" s="245"/>
      <c r="D497" s="244"/>
      <c r="E497" s="244"/>
      <c r="F497" s="241"/>
      <c r="G497" s="212"/>
    </row>
    <row r="498" spans="3:7" ht="15.75" thickBot="1">
      <c r="C498" s="242"/>
      <c r="D498" s="236"/>
      <c r="E498" s="236"/>
      <c r="F498" s="243"/>
      <c r="G498" s="242"/>
    </row>
    <row r="499" spans="3:7" ht="15" thickBot="1">
      <c r="C499" s="233">
        <v>4077</v>
      </c>
      <c r="D499" s="244">
        <v>53</v>
      </c>
      <c r="E499" s="244">
        <v>3</v>
      </c>
      <c r="F499" s="235">
        <v>116</v>
      </c>
      <c r="G499" s="210">
        <v>0.12</v>
      </c>
    </row>
    <row r="500" spans="3:7" ht="15" thickBot="1">
      <c r="C500" s="233">
        <v>7131</v>
      </c>
      <c r="D500" s="244">
        <v>53</v>
      </c>
      <c r="E500" s="244">
        <v>3</v>
      </c>
      <c r="F500" s="235">
        <v>204</v>
      </c>
      <c r="G500" s="249">
        <v>0.2</v>
      </c>
    </row>
    <row r="501" spans="3:7" ht="15" thickBot="1">
      <c r="C501" s="233">
        <v>13733</v>
      </c>
      <c r="D501" s="234">
        <v>49.7</v>
      </c>
      <c r="E501" s="234">
        <v>3</v>
      </c>
      <c r="F501" s="235">
        <v>368</v>
      </c>
      <c r="G501" s="210">
        <v>0.37</v>
      </c>
    </row>
    <row r="502" spans="3:7" ht="15" thickBot="1">
      <c r="C502" s="245"/>
      <c r="D502" s="244">
        <v>53</v>
      </c>
      <c r="E502" s="244">
        <v>3</v>
      </c>
      <c r="F502" s="244"/>
      <c r="G502" s="247"/>
    </row>
    <row r="503" spans="3:7" ht="15" thickBot="1">
      <c r="C503" s="245"/>
      <c r="D503" s="244"/>
      <c r="E503" s="244"/>
      <c r="F503" s="246"/>
      <c r="G503" s="248"/>
    </row>
    <row r="504" spans="3:7" ht="15" thickBot="1">
      <c r="C504" s="233">
        <v>1561</v>
      </c>
      <c r="D504" s="244">
        <v>53</v>
      </c>
      <c r="E504" s="244">
        <v>3</v>
      </c>
      <c r="F504" s="235">
        <v>45</v>
      </c>
      <c r="G504" s="210">
        <v>0.05</v>
      </c>
    </row>
    <row r="505" spans="3:7" ht="15" thickBot="1">
      <c r="C505" s="233">
        <v>6917</v>
      </c>
      <c r="D505" s="244">
        <v>53</v>
      </c>
      <c r="E505" s="244">
        <v>3</v>
      </c>
      <c r="F505" s="235">
        <v>198</v>
      </c>
      <c r="G505" s="249">
        <v>0.2</v>
      </c>
    </row>
    <row r="506" spans="3:7" ht="15" thickBot="1">
      <c r="C506" s="233">
        <v>28303</v>
      </c>
      <c r="D506" s="234">
        <v>48.7</v>
      </c>
      <c r="E506" s="234">
        <v>3</v>
      </c>
      <c r="F506" s="235">
        <v>743</v>
      </c>
      <c r="G506" s="210">
        <v>0.74</v>
      </c>
    </row>
    <row r="507" spans="3:7" ht="15" thickBot="1">
      <c r="C507" s="245"/>
      <c r="D507" s="244">
        <v>53</v>
      </c>
      <c r="E507" s="244">
        <v>3</v>
      </c>
      <c r="F507" s="244"/>
      <c r="G507" s="247"/>
    </row>
    <row r="508" spans="3:7" ht="15" thickBot="1">
      <c r="C508" s="245"/>
      <c r="D508" s="244"/>
      <c r="E508" s="244"/>
      <c r="F508" s="246"/>
      <c r="G508" s="248"/>
    </row>
    <row r="509" spans="3:7" ht="15" thickBot="1">
      <c r="C509" s="233">
        <v>4493</v>
      </c>
      <c r="D509" s="244">
        <v>47</v>
      </c>
      <c r="E509" s="244">
        <v>4</v>
      </c>
      <c r="F509" s="235">
        <v>128</v>
      </c>
      <c r="G509" s="210">
        <v>0.13</v>
      </c>
    </row>
    <row r="510" spans="3:7" ht="15" thickBot="1">
      <c r="C510" s="233">
        <v>24163</v>
      </c>
      <c r="D510" s="234">
        <v>36.8</v>
      </c>
      <c r="E510" s="234">
        <v>3</v>
      </c>
      <c r="F510" s="235">
        <v>635</v>
      </c>
      <c r="G510" s="210">
        <v>0.64</v>
      </c>
    </row>
    <row r="511" spans="3:7" ht="15" thickBot="1">
      <c r="C511" s="245"/>
      <c r="D511" s="244">
        <v>40</v>
      </c>
      <c r="E511" s="244">
        <v>3</v>
      </c>
      <c r="F511" s="244"/>
      <c r="G511" s="247"/>
    </row>
    <row r="512" spans="3:7" ht="15" thickBot="1">
      <c r="C512" s="245"/>
      <c r="D512" s="244"/>
      <c r="E512" s="244"/>
      <c r="F512" s="241"/>
      <c r="G512" s="212"/>
    </row>
    <row r="513" spans="3:7" ht="15" thickBot="1">
      <c r="C513" s="233">
        <v>9126</v>
      </c>
      <c r="D513" s="244">
        <v>40</v>
      </c>
      <c r="E513" s="244">
        <v>3</v>
      </c>
      <c r="F513" s="235">
        <v>261</v>
      </c>
      <c r="G513" s="210">
        <v>0.26</v>
      </c>
    </row>
    <row r="514" spans="3:7" ht="15" thickBot="1">
      <c r="C514" s="233">
        <v>56514</v>
      </c>
      <c r="D514" s="234">
        <v>38.8</v>
      </c>
      <c r="E514" s="234">
        <v>3</v>
      </c>
      <c r="F514" s="235">
        <v>1564</v>
      </c>
      <c r="G514" s="210">
        <v>1.56</v>
      </c>
    </row>
    <row r="515" spans="3:7" ht="15" thickBot="1">
      <c r="C515" s="245"/>
      <c r="D515" s="244">
        <v>40</v>
      </c>
      <c r="E515" s="244">
        <v>3</v>
      </c>
      <c r="F515" s="244"/>
      <c r="G515" s="247"/>
    </row>
    <row r="516" spans="3:7" ht="15" thickBot="1">
      <c r="C516" s="245"/>
      <c r="D516" s="244"/>
      <c r="E516" s="244"/>
      <c r="F516" s="241"/>
      <c r="G516" s="212"/>
    </row>
    <row r="517" spans="3:7" ht="15" thickBot="1">
      <c r="C517" s="233">
        <v>44213</v>
      </c>
      <c r="D517" s="234">
        <v>38.2</v>
      </c>
      <c r="E517" s="234">
        <v>3</v>
      </c>
      <c r="F517" s="235">
        <v>1206</v>
      </c>
      <c r="G517" s="210">
        <v>1.21</v>
      </c>
    </row>
    <row r="518" spans="3:7" ht="15" thickBot="1">
      <c r="C518" s="245"/>
      <c r="D518" s="244">
        <v>40</v>
      </c>
      <c r="E518" s="244">
        <v>3</v>
      </c>
      <c r="F518" s="244"/>
      <c r="G518" s="247"/>
    </row>
    <row r="519" spans="3:7" ht="15" thickBot="1">
      <c r="C519" s="245"/>
      <c r="D519" s="244">
        <v>40</v>
      </c>
      <c r="E519" s="244">
        <v>3</v>
      </c>
      <c r="F519" s="244"/>
      <c r="G519" s="247"/>
    </row>
    <row r="520" spans="3:6" ht="15" thickBot="1">
      <c r="C520" s="245"/>
      <c r="D520" s="244"/>
      <c r="E520" s="244"/>
      <c r="F520" s="241"/>
    </row>
    <row r="521" spans="3:7" ht="15.75" thickBot="1">
      <c r="C521" s="213">
        <f>SUM(C453:C520)</f>
        <v>730388</v>
      </c>
      <c r="D521" s="213">
        <f>SUM(D453:D520)</f>
        <v>1769.7</v>
      </c>
      <c r="E521" s="213">
        <f>SUM(E453:E520)</f>
        <v>182</v>
      </c>
      <c r="F521" s="213">
        <f>SUM(F453:F520)</f>
        <v>25589</v>
      </c>
      <c r="G521" s="223">
        <f>SUM(G454:G520)</f>
        <v>25.59</v>
      </c>
    </row>
    <row r="522" ht="14.25">
      <c r="F522" s="223">
        <v>29.13</v>
      </c>
    </row>
    <row r="523" ht="14.25">
      <c r="F523" s="223">
        <v>3.54</v>
      </c>
    </row>
    <row r="524" ht="14.25">
      <c r="F524" s="223">
        <f>F522-F523</f>
        <v>25.59</v>
      </c>
    </row>
  </sheetData>
  <mergeCells count="4">
    <mergeCell ref="B187:B188"/>
    <mergeCell ref="C187:C188"/>
    <mergeCell ref="D187:D188"/>
    <mergeCell ref="F187:F18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1.1484375" style="1" customWidth="1"/>
    <col min="3" max="3" width="28.421875" style="1" customWidth="1"/>
    <col min="4" max="16384" width="8.1406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6.57421875" style="4" customWidth="1"/>
    <col min="2" max="2" width="1.1484375" style="4" customWidth="1"/>
    <col min="3" max="3" width="28.57421875" style="4" customWidth="1"/>
    <col min="4" max="16384" width="8.140625" style="4" customWidth="1"/>
  </cols>
  <sheetData>
    <row r="1" ht="12.75">
      <c r="A1" t="s">
        <v>49</v>
      </c>
    </row>
    <row r="2" ht="14.25" thickBot="1">
      <c r="A2" s="3" t="s">
        <v>48</v>
      </c>
    </row>
    <row r="3" spans="1:3" ht="13.5" thickBot="1">
      <c r="A3" s="5" t="s">
        <v>42</v>
      </c>
      <c r="C3" s="6" t="s">
        <v>32</v>
      </c>
    </row>
    <row r="4" ht="12.75">
      <c r="A4" s="5">
        <v>3</v>
      </c>
    </row>
    <row r="6" ht="13.5" thickBot="1"/>
    <row r="7" ht="12.75">
      <c r="A7" s="7" t="s">
        <v>33</v>
      </c>
    </row>
    <row r="8" ht="12.75">
      <c r="A8" s="8" t="s">
        <v>34</v>
      </c>
    </row>
    <row r="9" ht="12.75">
      <c r="A9" s="9" t="s">
        <v>35</v>
      </c>
    </row>
    <row r="10" ht="12.75">
      <c r="A10" s="8" t="s">
        <v>36</v>
      </c>
    </row>
    <row r="11" ht="13.5" thickBot="1">
      <c r="A11" s="10" t="s">
        <v>37</v>
      </c>
    </row>
    <row r="13" ht="13.5" thickBot="1"/>
    <row r="14" ht="13.5" thickBot="1">
      <c r="A14" s="6" t="s">
        <v>38</v>
      </c>
    </row>
    <row r="16" ht="13.5" thickBot="1"/>
    <row r="17" ht="13.5" thickBot="1">
      <c r="C17" s="6" t="s">
        <v>39</v>
      </c>
    </row>
    <row r="20" ht="12.75">
      <c r="A20" s="11" t="s">
        <v>40</v>
      </c>
    </row>
    <row r="26" ht="13.5" thickBot="1">
      <c r="C26" s="12" t="s">
        <v>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baby2001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thinhngan</dc:creator>
  <cp:keywords/>
  <dc:description/>
  <cp:lastModifiedBy>Anh Phuong</cp:lastModifiedBy>
  <cp:lastPrinted>2009-12-26T03:43:03Z</cp:lastPrinted>
  <dcterms:created xsi:type="dcterms:W3CDTF">2002-11-02T04:03:30Z</dcterms:created>
  <dcterms:modified xsi:type="dcterms:W3CDTF">2009-12-26T04:03:46Z</dcterms:modified>
  <cp:category/>
  <cp:version/>
  <cp:contentType/>
  <cp:contentStatus/>
</cp:coreProperties>
</file>